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Проекти рішень\2025 проєкти\Квітень\квітень 4\"/>
    </mc:Choice>
  </mc:AlternateContent>
  <bookViews>
    <workbookView xWindow="-120" yWindow="-120" windowWidth="29040" windowHeight="15720" tabRatio="0"/>
  </bookViews>
  <sheets>
    <sheet name="TDSheet" sheetId="1" r:id="rId1"/>
  </sheets>
  <definedNames>
    <definedName name="_xlnm.Print_Titles" localSheetId="0">TDSheet!$9:$12</definedName>
  </definedNames>
  <calcPr calcId="191029"/>
</workbook>
</file>

<file path=xl/calcChain.xml><?xml version="1.0" encoding="utf-8"?>
<calcChain xmlns="http://schemas.openxmlformats.org/spreadsheetml/2006/main">
  <c r="F209" i="1" l="1"/>
  <c r="F83" i="1"/>
  <c r="F342" i="1"/>
  <c r="O125" i="1"/>
  <c r="K125" i="1"/>
  <c r="O132" i="1" l="1"/>
  <c r="K132" i="1"/>
  <c r="E346" i="1" l="1"/>
  <c r="F72" i="1"/>
  <c r="H107" i="1"/>
  <c r="F107" i="1"/>
  <c r="H105" i="1"/>
  <c r="F105" i="1"/>
  <c r="F349" i="1"/>
  <c r="F67" i="1"/>
  <c r="F292" i="1"/>
  <c r="O83" i="1"/>
  <c r="K83" i="1"/>
  <c r="O92" i="1" l="1"/>
  <c r="J92" i="1" s="1"/>
  <c r="P92" i="1" s="1"/>
  <c r="K92" i="1"/>
  <c r="F79" i="1" l="1"/>
  <c r="O79" i="1" l="1"/>
  <c r="K79" i="1"/>
  <c r="F197" i="1" l="1"/>
  <c r="F201" i="1"/>
  <c r="F158" i="1"/>
  <c r="F164" i="1"/>
  <c r="F163" i="1"/>
  <c r="F161" i="1"/>
  <c r="F61" i="1" l="1"/>
  <c r="F97" i="1"/>
  <c r="O256" i="1" l="1"/>
  <c r="K256" i="1"/>
  <c r="O242" i="1"/>
  <c r="K242" i="1"/>
  <c r="K223" i="1"/>
  <c r="O223" i="1"/>
  <c r="N52" i="1"/>
  <c r="M52" i="1"/>
  <c r="L52" i="1"/>
  <c r="O54" i="1"/>
  <c r="O52" i="1" s="1"/>
  <c r="F54" i="1"/>
  <c r="K54" i="1"/>
  <c r="K52" i="1" s="1"/>
  <c r="F213" i="1" l="1"/>
  <c r="F242" i="1"/>
  <c r="F253" i="1"/>
  <c r="F256" i="1"/>
  <c r="F240" i="1"/>
  <c r="I217" i="1"/>
  <c r="G34" i="1" l="1"/>
  <c r="F34" i="1"/>
  <c r="K134" i="1"/>
  <c r="L134" i="1"/>
  <c r="M134" i="1"/>
  <c r="N134" i="1"/>
  <c r="O134" i="1"/>
  <c r="E151" i="1"/>
  <c r="P151" i="1" s="1"/>
  <c r="H38" i="1"/>
  <c r="G38" i="1"/>
  <c r="F38" i="1"/>
  <c r="G153" i="1"/>
  <c r="I153" i="1"/>
  <c r="K153" i="1"/>
  <c r="L153" i="1"/>
  <c r="M153" i="1"/>
  <c r="N153" i="1"/>
  <c r="O153" i="1"/>
  <c r="F153" i="1"/>
  <c r="E153" i="1" s="1"/>
  <c r="J158" i="1"/>
  <c r="E158" i="1"/>
  <c r="F343" i="1"/>
  <c r="J153" i="1" l="1"/>
  <c r="P158" i="1"/>
  <c r="G36" i="1"/>
  <c r="G35" i="1" s="1"/>
  <c r="E38" i="1"/>
  <c r="O39" i="1"/>
  <c r="J39" i="1" s="1"/>
  <c r="K39" i="1"/>
  <c r="K36" i="1" s="1"/>
  <c r="K35" i="1" s="1"/>
  <c r="E39" i="1"/>
  <c r="J38" i="1"/>
  <c r="H36" i="1"/>
  <c r="H35" i="1" s="1"/>
  <c r="J37" i="1"/>
  <c r="E37" i="1"/>
  <c r="N36" i="1"/>
  <c r="N35" i="1" s="1"/>
  <c r="M36" i="1"/>
  <c r="M35" i="1" s="1"/>
  <c r="L36" i="1"/>
  <c r="L35" i="1" s="1"/>
  <c r="I36" i="1"/>
  <c r="I35" i="1" s="1"/>
  <c r="E34" i="1"/>
  <c r="P34" i="1" s="1"/>
  <c r="F40" i="1"/>
  <c r="F145" i="1"/>
  <c r="F149" i="1"/>
  <c r="O349" i="1"/>
  <c r="P37" i="1" l="1"/>
  <c r="P38" i="1"/>
  <c r="P39" i="1"/>
  <c r="F36" i="1"/>
  <c r="O36" i="1"/>
  <c r="K349" i="1"/>
  <c r="O35" i="1" l="1"/>
  <c r="J36" i="1"/>
  <c r="J35" i="1" s="1"/>
  <c r="F35" i="1"/>
  <c r="E35" i="1" s="1"/>
  <c r="E36" i="1"/>
  <c r="P35" i="1" l="1"/>
  <c r="P36" i="1"/>
  <c r="H83" i="1"/>
  <c r="J51" i="1" l="1"/>
  <c r="F167" i="1" l="1"/>
  <c r="E69" i="1" l="1"/>
  <c r="J68" i="1" l="1"/>
  <c r="J69" i="1"/>
  <c r="P69" i="1" s="1"/>
  <c r="O129" i="1"/>
  <c r="K129" i="1"/>
  <c r="K122" i="1" s="1"/>
  <c r="F205" i="1" l="1"/>
  <c r="E187" i="1"/>
  <c r="P187" i="1" s="1"/>
  <c r="F184" i="1"/>
  <c r="F217" i="1" l="1"/>
  <c r="F223" i="1"/>
  <c r="F212" i="1" l="1"/>
  <c r="K44" i="1"/>
  <c r="F44" i="1"/>
  <c r="O44" i="1"/>
  <c r="N44" i="1"/>
  <c r="M44" i="1"/>
  <c r="L44" i="1"/>
  <c r="E51" i="1" l="1"/>
  <c r="P51" i="1" s="1"/>
  <c r="F196" i="1" l="1"/>
  <c r="F206" i="1"/>
  <c r="F183" i="1"/>
  <c r="F128" i="1"/>
  <c r="F15" i="1"/>
  <c r="O183" i="1" l="1"/>
  <c r="K183" i="1"/>
  <c r="H198" i="1" l="1"/>
  <c r="H199" i="1"/>
  <c r="H175" i="1"/>
  <c r="H164" i="1"/>
  <c r="F166" i="1"/>
  <c r="H163" i="1"/>
  <c r="H156" i="1"/>
  <c r="H153" i="1" s="1"/>
  <c r="F78" i="1" l="1"/>
  <c r="O303" i="1"/>
  <c r="K303" i="1"/>
  <c r="F300" i="1"/>
  <c r="E196" i="1"/>
  <c r="P196" i="1" s="1"/>
  <c r="E349" i="1"/>
  <c r="F339" i="1" l="1"/>
  <c r="F26" i="1" l="1"/>
  <c r="N18" i="1"/>
  <c r="M18" i="1"/>
  <c r="L18" i="1"/>
  <c r="O26" i="1"/>
  <c r="K26" i="1"/>
  <c r="F182" i="1" l="1"/>
  <c r="F180" i="1"/>
  <c r="F125" i="1" l="1"/>
  <c r="H338" i="1" l="1"/>
  <c r="H15" i="1"/>
  <c r="H204" i="1"/>
  <c r="F204" i="1"/>
  <c r="I355" i="1"/>
  <c r="E72" i="1" l="1"/>
  <c r="P72" i="1" s="1"/>
  <c r="F315" i="1" l="1"/>
  <c r="F303" i="1"/>
  <c r="H252" i="1"/>
  <c r="F252" i="1"/>
  <c r="H212" i="1"/>
  <c r="F136" i="1"/>
  <c r="E107" i="1"/>
  <c r="E78" i="1" l="1"/>
  <c r="F70" i="1" l="1"/>
  <c r="F65" i="1" s="1"/>
  <c r="F27" i="1"/>
  <c r="E27" i="1" s="1"/>
  <c r="H223" i="1"/>
  <c r="F18" i="1" l="1"/>
  <c r="J343" i="1"/>
  <c r="J340" i="1"/>
  <c r="J341" i="1"/>
  <c r="N339" i="1"/>
  <c r="M339" i="1"/>
  <c r="L339" i="1"/>
  <c r="O344" i="1"/>
  <c r="J344" i="1" s="1"/>
  <c r="P344" i="1" s="1"/>
  <c r="K344" i="1"/>
  <c r="K339" i="1" s="1"/>
  <c r="K336" i="1" s="1"/>
  <c r="O331" i="1"/>
  <c r="K331" i="1"/>
  <c r="O291" i="1"/>
  <c r="K291" i="1"/>
  <c r="O283" i="1"/>
  <c r="K283" i="1"/>
  <c r="O261" i="1"/>
  <c r="K261" i="1"/>
  <c r="O259" i="1"/>
  <c r="K259" i="1"/>
  <c r="H210" i="1"/>
  <c r="G210" i="1"/>
  <c r="O230" i="1"/>
  <c r="J230" i="1" s="1"/>
  <c r="K230" i="1"/>
  <c r="O227" i="1"/>
  <c r="K227" i="1"/>
  <c r="O180" i="1"/>
  <c r="K180" i="1"/>
  <c r="K82" i="1"/>
  <c r="O70" i="1"/>
  <c r="K70" i="1"/>
  <c r="O339" i="1" l="1"/>
  <c r="J339" i="1" l="1"/>
  <c r="O336" i="1"/>
  <c r="J349" i="1" l="1"/>
  <c r="F288" i="1" l="1"/>
  <c r="P80" i="1" l="1"/>
  <c r="F172" i="1" l="1"/>
  <c r="E172" i="1" s="1"/>
  <c r="P172" i="1" s="1"/>
  <c r="F171" i="1"/>
  <c r="F203" i="1"/>
  <c r="F188" i="1"/>
  <c r="F99" i="1"/>
  <c r="N65" i="1" l="1"/>
  <c r="N13" i="1" s="1"/>
  <c r="M65" i="1"/>
  <c r="M13" i="1" s="1"/>
  <c r="L65" i="1"/>
  <c r="L13" i="1" s="1"/>
  <c r="J70" i="1"/>
  <c r="I339" i="1" l="1"/>
  <c r="F193" i="1" l="1"/>
  <c r="F120" i="1"/>
  <c r="F267" i="1"/>
  <c r="O217" i="1" l="1"/>
  <c r="K217" i="1"/>
  <c r="L250" i="1"/>
  <c r="I250" i="1"/>
  <c r="H250" i="1"/>
  <c r="G250" i="1"/>
  <c r="N250" i="1"/>
  <c r="M250" i="1"/>
  <c r="O254" i="1"/>
  <c r="J254" i="1" s="1"/>
  <c r="K254" i="1"/>
  <c r="P254" i="1" l="1"/>
  <c r="E32" i="1" l="1"/>
  <c r="P32" i="1" s="1"/>
  <c r="O119" i="1" l="1"/>
  <c r="K119" i="1"/>
  <c r="I231" i="1"/>
  <c r="E231" i="1" l="1"/>
  <c r="I210" i="1"/>
  <c r="O120" i="1"/>
  <c r="K120" i="1"/>
  <c r="F285" i="1" l="1"/>
  <c r="E22" i="1" l="1"/>
  <c r="P22" i="1" s="1"/>
  <c r="O234" i="1"/>
  <c r="K234" i="1"/>
  <c r="P231" i="1"/>
  <c r="E226" i="1"/>
  <c r="E227" i="1"/>
  <c r="E228" i="1"/>
  <c r="E229" i="1"/>
  <c r="G120" i="1" l="1"/>
  <c r="G119" i="1"/>
  <c r="G112" i="1"/>
  <c r="F112" i="1"/>
  <c r="F110" i="1"/>
  <c r="G110" i="1"/>
  <c r="G105" i="1"/>
  <c r="G103" i="1"/>
  <c r="F103" i="1"/>
  <c r="F101" i="1"/>
  <c r="G99" i="1"/>
  <c r="G97" i="1"/>
  <c r="G83" i="1"/>
  <c r="G180" i="1"/>
  <c r="O318" i="1" l="1"/>
  <c r="K318" i="1"/>
  <c r="J270" i="1"/>
  <c r="J271" i="1"/>
  <c r="O269" i="1"/>
  <c r="J269" i="1" s="1"/>
  <c r="K269" i="1"/>
  <c r="E269" i="1"/>
  <c r="P269" i="1" l="1"/>
  <c r="F71" i="1"/>
  <c r="E71" i="1" s="1"/>
  <c r="P71" i="1" s="1"/>
  <c r="E167" i="1" l="1"/>
  <c r="P167" i="1" s="1"/>
  <c r="I271" i="1"/>
  <c r="E163" i="1" l="1"/>
  <c r="H237" i="1" l="1"/>
  <c r="F279" i="1" l="1"/>
  <c r="F210" i="1"/>
  <c r="F335" i="1" l="1"/>
  <c r="F177" i="1"/>
  <c r="I42" i="1" l="1"/>
  <c r="I40" i="1" s="1"/>
  <c r="E40" i="1" s="1"/>
  <c r="P40" i="1" s="1"/>
  <c r="E246" i="1" l="1"/>
  <c r="P246" i="1" s="1"/>
  <c r="E258" i="1"/>
  <c r="P258" i="1" s="1"/>
  <c r="E70" i="1" l="1"/>
  <c r="P70" i="1" s="1"/>
  <c r="E223" i="1"/>
  <c r="E225" i="1"/>
  <c r="P225" i="1" s="1"/>
  <c r="E219" i="1"/>
  <c r="P219" i="1" s="1"/>
  <c r="O260" i="1" l="1"/>
  <c r="K260" i="1"/>
  <c r="O67" i="1"/>
  <c r="O65" i="1" s="1"/>
  <c r="J65" i="1" s="1"/>
  <c r="K67" i="1"/>
  <c r="K65" i="1" s="1"/>
  <c r="O214" i="1"/>
  <c r="K214" i="1"/>
  <c r="O216" i="1"/>
  <c r="K216" i="1"/>
  <c r="O113" i="1"/>
  <c r="J113" i="1" s="1"/>
  <c r="P113" i="1" s="1"/>
  <c r="K113" i="1"/>
  <c r="H97" i="1" l="1"/>
  <c r="H335" i="1"/>
  <c r="F304" i="1" l="1"/>
  <c r="F302" i="1"/>
  <c r="F301" i="1"/>
  <c r="F297" i="1"/>
  <c r="O184" i="1" l="1"/>
  <c r="K184" i="1"/>
  <c r="G18" i="1" l="1"/>
  <c r="H18" i="1"/>
  <c r="I18" i="1"/>
  <c r="E18" i="1" s="1"/>
  <c r="E28" i="1"/>
  <c r="P28" i="1" s="1"/>
  <c r="E29" i="1"/>
  <c r="P29" i="1" s="1"/>
  <c r="E30" i="1"/>
  <c r="P30" i="1" s="1"/>
  <c r="E31" i="1"/>
  <c r="P31" i="1" s="1"/>
  <c r="F250" i="1" l="1"/>
  <c r="E250" i="1" s="1"/>
  <c r="N336" i="1" l="1"/>
  <c r="M336" i="1"/>
  <c r="L336" i="1"/>
  <c r="H336" i="1"/>
  <c r="G336" i="1"/>
  <c r="E347" i="1"/>
  <c r="P347" i="1" s="1"/>
  <c r="P218" i="1" l="1"/>
  <c r="E221" i="1"/>
  <c r="P221" i="1" s="1"/>
  <c r="E220" i="1"/>
  <c r="P220" i="1" s="1"/>
  <c r="E210" i="1" l="1"/>
  <c r="E217" i="1"/>
  <c r="J214" i="1"/>
  <c r="J216" i="1" l="1"/>
  <c r="P216" i="1" s="1"/>
  <c r="J215" i="1"/>
  <c r="P215" i="1" s="1"/>
  <c r="E214" i="1"/>
  <c r="P214" i="1" s="1"/>
  <c r="O226" i="1"/>
  <c r="J226" i="1" s="1"/>
  <c r="P226" i="1" s="1"/>
  <c r="K226" i="1"/>
  <c r="O229" i="1"/>
  <c r="J229" i="1" s="1"/>
  <c r="P229" i="1" s="1"/>
  <c r="K229" i="1"/>
  <c r="J228" i="1"/>
  <c r="P228" i="1" s="1"/>
  <c r="J224" i="1"/>
  <c r="P224" i="1" s="1"/>
  <c r="O91" i="1"/>
  <c r="J91" i="1" s="1"/>
  <c r="P91" i="1" s="1"/>
  <c r="K91" i="1"/>
  <c r="O90" i="1"/>
  <c r="J90" i="1" s="1"/>
  <c r="P90" i="1" s="1"/>
  <c r="K90" i="1"/>
  <c r="N298" i="1"/>
  <c r="M298" i="1"/>
  <c r="L298" i="1"/>
  <c r="J296" i="1"/>
  <c r="J297" i="1"/>
  <c r="J299" i="1"/>
  <c r="J300" i="1"/>
  <c r="J301" i="1"/>
  <c r="J302" i="1"/>
  <c r="J305" i="1"/>
  <c r="J304" i="1"/>
  <c r="O298" i="1"/>
  <c r="K298" i="1"/>
  <c r="N272" i="1"/>
  <c r="N262" i="1" s="1"/>
  <c r="M272" i="1"/>
  <c r="M262" i="1" s="1"/>
  <c r="L272" i="1"/>
  <c r="L262" i="1" s="1"/>
  <c r="J273" i="1"/>
  <c r="P273" i="1" s="1"/>
  <c r="O274" i="1"/>
  <c r="O272" i="1" s="1"/>
  <c r="O262" i="1" s="1"/>
  <c r="K274" i="1"/>
  <c r="K272" i="1" s="1"/>
  <c r="K262" i="1" s="1"/>
  <c r="J298" i="1" l="1"/>
  <c r="J274" i="1"/>
  <c r="P274" i="1" s="1"/>
  <c r="J303" i="1"/>
  <c r="J272" i="1"/>
  <c r="P272" i="1" s="1"/>
  <c r="J256" i="1"/>
  <c r="J255" i="1"/>
  <c r="J242" i="1"/>
  <c r="J239" i="1"/>
  <c r="J240" i="1"/>
  <c r="J241" i="1"/>
  <c r="J243" i="1"/>
  <c r="J244" i="1"/>
  <c r="P244" i="1" s="1"/>
  <c r="J245" i="1"/>
  <c r="P245" i="1" s="1"/>
  <c r="N232" i="1"/>
  <c r="N210" i="1" s="1"/>
  <c r="M232" i="1"/>
  <c r="M210" i="1" s="1"/>
  <c r="L232" i="1"/>
  <c r="L210" i="1" s="1"/>
  <c r="O235" i="1"/>
  <c r="J235" i="1" s="1"/>
  <c r="P235" i="1" s="1"/>
  <c r="K235" i="1"/>
  <c r="J223" i="1"/>
  <c r="P223" i="1" s="1"/>
  <c r="J212" i="1"/>
  <c r="J213" i="1"/>
  <c r="J222" i="1"/>
  <c r="K177" i="1"/>
  <c r="O116" i="1"/>
  <c r="J116" i="1" s="1"/>
  <c r="P116" i="1" s="1"/>
  <c r="K116" i="1"/>
  <c r="K250" i="1" l="1"/>
  <c r="O250" i="1"/>
  <c r="J217" i="1"/>
  <c r="P217" i="1" s="1"/>
  <c r="O93" i="1"/>
  <c r="O82" i="1" s="1"/>
  <c r="O15" i="1"/>
  <c r="K15" i="1"/>
  <c r="E81" i="1" l="1"/>
  <c r="P81" i="1" s="1"/>
  <c r="E85" i="1" l="1"/>
  <c r="E86" i="1"/>
  <c r="E89" i="1"/>
  <c r="E83" i="1"/>
  <c r="E87" i="1"/>
  <c r="E88" i="1"/>
  <c r="J85" i="1"/>
  <c r="J86" i="1"/>
  <c r="J87" i="1"/>
  <c r="J88" i="1"/>
  <c r="J89" i="1"/>
  <c r="P85" i="1" l="1"/>
  <c r="P87" i="1"/>
  <c r="P89" i="1"/>
  <c r="P88" i="1"/>
  <c r="P86" i="1"/>
  <c r="O329" i="1" l="1"/>
  <c r="O320" i="1" s="1"/>
  <c r="K329" i="1"/>
  <c r="K320" i="1" s="1"/>
  <c r="N329" i="1"/>
  <c r="N320" i="1" s="1"/>
  <c r="M329" i="1"/>
  <c r="M320" i="1" s="1"/>
  <c r="L329" i="1"/>
  <c r="L320" i="1" s="1"/>
  <c r="J324" i="1"/>
  <c r="J325" i="1"/>
  <c r="J326" i="1"/>
  <c r="J327" i="1"/>
  <c r="P327" i="1" s="1"/>
  <c r="J328" i="1"/>
  <c r="J330" i="1"/>
  <c r="P330" i="1" s="1"/>
  <c r="J331" i="1" l="1"/>
  <c r="P331" i="1" s="1"/>
  <c r="J329" i="1"/>
  <c r="P329" i="1" s="1"/>
  <c r="O249" i="1" l="1"/>
  <c r="K249" i="1"/>
  <c r="P77" i="1"/>
  <c r="O114" i="1"/>
  <c r="J114" i="1" s="1"/>
  <c r="P114" i="1" s="1"/>
  <c r="K114" i="1"/>
  <c r="J115" i="1"/>
  <c r="J117" i="1"/>
  <c r="J118" i="1"/>
  <c r="J119" i="1"/>
  <c r="G96" i="1" l="1"/>
  <c r="G100" i="1"/>
  <c r="F96" i="1"/>
  <c r="F100" i="1"/>
  <c r="E115" i="1"/>
  <c r="P115" i="1" s="1"/>
  <c r="E117" i="1"/>
  <c r="P117" i="1" s="1"/>
  <c r="E118" i="1"/>
  <c r="P118" i="1" s="1"/>
  <c r="E201" i="1" l="1"/>
  <c r="P201" i="1" s="1"/>
  <c r="G15" i="1" l="1"/>
  <c r="G195" i="1"/>
  <c r="J157" i="1"/>
  <c r="E186" i="1" l="1"/>
  <c r="P186" i="1" s="1"/>
  <c r="J132" i="1" l="1"/>
  <c r="P132" i="1" s="1"/>
  <c r="F95" i="1" l="1"/>
  <c r="E145" i="1" l="1"/>
  <c r="G173" i="1" l="1"/>
  <c r="H173" i="1"/>
  <c r="F173" i="1"/>
  <c r="F169" i="1" s="1"/>
  <c r="F150" i="1" l="1"/>
  <c r="J133" i="1" l="1"/>
  <c r="P349" i="1" l="1"/>
  <c r="J131" i="1" l="1"/>
  <c r="F76" i="1"/>
  <c r="F122" i="1" l="1"/>
  <c r="I306" i="1"/>
  <c r="H306" i="1"/>
  <c r="G306" i="1"/>
  <c r="J227" i="1"/>
  <c r="O23" i="1"/>
  <c r="K23" i="1"/>
  <c r="K18" i="1" s="1"/>
  <c r="K13" i="1" s="1"/>
  <c r="J23" i="1" l="1"/>
  <c r="P23" i="1" s="1"/>
  <c r="O18" i="1"/>
  <c r="O13" i="1" s="1"/>
  <c r="P227" i="1"/>
  <c r="J18" i="1" l="1"/>
  <c r="G240" i="1"/>
  <c r="G237" i="1" s="1"/>
  <c r="E255" i="1"/>
  <c r="F237" i="1" l="1"/>
  <c r="O193" i="1" l="1"/>
  <c r="N193" i="1"/>
  <c r="M193" i="1"/>
  <c r="L193" i="1"/>
  <c r="K193" i="1"/>
  <c r="I193" i="1"/>
  <c r="E193" i="1" s="1"/>
  <c r="H193" i="1"/>
  <c r="G193" i="1"/>
  <c r="E207" i="1"/>
  <c r="E315" i="1" l="1"/>
  <c r="P315" i="1" s="1"/>
  <c r="F312" i="1"/>
  <c r="F336" i="1" l="1"/>
  <c r="J121" i="1"/>
  <c r="E125" i="1" l="1"/>
  <c r="G326" i="1"/>
  <c r="G320" i="1" s="1"/>
  <c r="H326" i="1"/>
  <c r="H320" i="1" s="1"/>
  <c r="I326" i="1"/>
  <c r="I320" i="1" s="1"/>
  <c r="F326" i="1"/>
  <c r="F320" i="1" s="1"/>
  <c r="E323" i="1"/>
  <c r="P323" i="1" s="1"/>
  <c r="F310" i="1"/>
  <c r="F306" i="1" s="1"/>
  <c r="E306" i="1" s="1"/>
  <c r="G298" i="1"/>
  <c r="H298" i="1"/>
  <c r="I298" i="1"/>
  <c r="F298" i="1"/>
  <c r="E304" i="1"/>
  <c r="P304" i="1" s="1"/>
  <c r="E305" i="1"/>
  <c r="P305" i="1" s="1"/>
  <c r="G270" i="1"/>
  <c r="H270" i="1"/>
  <c r="I270" i="1"/>
  <c r="F270" i="1"/>
  <c r="E270" i="1" l="1"/>
  <c r="F60" i="1" l="1"/>
  <c r="P340" i="1"/>
  <c r="P299" i="1"/>
  <c r="P277" i="1"/>
  <c r="P263" i="1"/>
  <c r="P255" i="1"/>
  <c r="P251" i="1"/>
  <c r="P248" i="1"/>
  <c r="P238" i="1"/>
  <c r="P233" i="1"/>
  <c r="P190" i="1"/>
  <c r="P178" i="1"/>
  <c r="P170" i="1"/>
  <c r="P165" i="1"/>
  <c r="P123" i="1"/>
  <c r="P74" i="1"/>
  <c r="P63" i="1"/>
  <c r="P57" i="1"/>
  <c r="P53" i="1"/>
  <c r="P45" i="1"/>
  <c r="P41" i="1"/>
  <c r="P19" i="1"/>
  <c r="P14" i="1"/>
  <c r="L129" i="1" l="1"/>
  <c r="L122" i="1" s="1"/>
  <c r="M129" i="1"/>
  <c r="M122" i="1" s="1"/>
  <c r="N129" i="1"/>
  <c r="N122" i="1" s="1"/>
  <c r="O122" i="1"/>
  <c r="J130" i="1"/>
  <c r="P130" i="1" s="1"/>
  <c r="P131" i="1"/>
  <c r="I242" i="1"/>
  <c r="I237" i="1" s="1"/>
  <c r="J129" i="1" l="1"/>
  <c r="O232" i="1"/>
  <c r="O210" i="1" s="1"/>
  <c r="K232" i="1"/>
  <c r="K210" i="1" s="1"/>
  <c r="J232" i="1" l="1"/>
  <c r="I44" i="1"/>
  <c r="E44" i="1" s="1"/>
  <c r="G44" i="1"/>
  <c r="H44" i="1"/>
  <c r="E47" i="1"/>
  <c r="P47" i="1" s="1"/>
  <c r="G16" i="1"/>
  <c r="H16" i="1"/>
  <c r="I16" i="1"/>
  <c r="F16" i="1"/>
  <c r="O316" i="1"/>
  <c r="O306" i="1" s="1"/>
  <c r="F52" i="1"/>
  <c r="E175" i="1" l="1"/>
  <c r="P175" i="1" s="1"/>
  <c r="E199" i="1"/>
  <c r="P199" i="1" s="1"/>
  <c r="H52" i="1" l="1"/>
  <c r="G52" i="1"/>
  <c r="E316" i="1" l="1"/>
  <c r="E317" i="1"/>
  <c r="P317" i="1" s="1"/>
  <c r="E318" i="1"/>
  <c r="E312" i="1" l="1"/>
  <c r="J332" i="1" l="1"/>
  <c r="P332" i="1" s="1"/>
  <c r="E60" i="1" l="1"/>
  <c r="P60" i="1" s="1"/>
  <c r="E61" i="1"/>
  <c r="P61" i="1" s="1"/>
  <c r="E66" i="1"/>
  <c r="E68" i="1"/>
  <c r="P68" i="1" s="1"/>
  <c r="F265" i="1"/>
  <c r="F296" i="1"/>
  <c r="F293" i="1" s="1"/>
  <c r="G65" i="1" l="1"/>
  <c r="H65" i="1"/>
  <c r="I65" i="1"/>
  <c r="E65" i="1" l="1"/>
  <c r="I13" i="1"/>
  <c r="F104" i="1"/>
  <c r="H104" i="1"/>
  <c r="J125" i="1" l="1"/>
  <c r="E147" i="1" l="1"/>
  <c r="E146" i="1"/>
  <c r="P146" i="1" s="1"/>
  <c r="P147" i="1" l="1"/>
  <c r="F159" i="1"/>
  <c r="F152" i="1" s="1"/>
  <c r="N316" i="1" l="1"/>
  <c r="N306" i="1" s="1"/>
  <c r="M316" i="1"/>
  <c r="M306" i="1" s="1"/>
  <c r="L316" i="1"/>
  <c r="L306" i="1" s="1"/>
  <c r="K316" i="1"/>
  <c r="K306" i="1" s="1"/>
  <c r="J318" i="1"/>
  <c r="P318" i="1" s="1"/>
  <c r="O247" i="1"/>
  <c r="O237" i="1" s="1"/>
  <c r="N247" i="1"/>
  <c r="N237" i="1" s="1"/>
  <c r="M247" i="1"/>
  <c r="M237" i="1" s="1"/>
  <c r="L247" i="1"/>
  <c r="L237" i="1" s="1"/>
  <c r="K247" i="1"/>
  <c r="K237" i="1" s="1"/>
  <c r="J249" i="1"/>
  <c r="P249" i="1" s="1"/>
  <c r="J234" i="1"/>
  <c r="P234" i="1" s="1"/>
  <c r="J247" i="1" l="1"/>
  <c r="J316" i="1"/>
  <c r="P316" i="1" s="1"/>
  <c r="P247" i="1" l="1"/>
  <c r="J237" i="1"/>
  <c r="J67" i="1"/>
  <c r="J66" i="1"/>
  <c r="P66" i="1" s="1"/>
  <c r="P65" i="1" l="1"/>
  <c r="E194" i="1"/>
  <c r="P194" i="1" s="1"/>
  <c r="E195" i="1"/>
  <c r="E198" i="1"/>
  <c r="P198" i="1" s="1"/>
  <c r="E200" i="1" l="1"/>
  <c r="P200" i="1" s="1"/>
  <c r="F98" i="1" l="1"/>
  <c r="E100" i="1" l="1"/>
  <c r="E101" i="1"/>
  <c r="P101" i="1" s="1"/>
  <c r="E96" i="1"/>
  <c r="E99" i="1"/>
  <c r="E202" i="1"/>
  <c r="I122" i="1" l="1"/>
  <c r="H122" i="1"/>
  <c r="G122" i="1"/>
  <c r="E328" i="1" l="1"/>
  <c r="P328" i="1" s="1"/>
  <c r="J275" i="1" l="1"/>
  <c r="P275" i="1" s="1"/>
  <c r="G169" i="1" l="1"/>
  <c r="H169" i="1"/>
  <c r="I169" i="1"/>
  <c r="E173" i="1"/>
  <c r="E42" i="1" l="1"/>
  <c r="P42" i="1" s="1"/>
  <c r="E268" i="1" l="1"/>
  <c r="P268" i="1" s="1"/>
  <c r="F262" i="1"/>
  <c r="E308" i="1" l="1"/>
  <c r="J308" i="1"/>
  <c r="E46" i="1"/>
  <c r="P46" i="1" s="1"/>
  <c r="P308" i="1" l="1"/>
  <c r="E67" i="1"/>
  <c r="P67" i="1" s="1"/>
  <c r="E324" i="1"/>
  <c r="P324" i="1" s="1"/>
  <c r="E326" i="1"/>
  <c r="P326" i="1" s="1"/>
  <c r="L104" i="1" l="1"/>
  <c r="M104" i="1"/>
  <c r="N104" i="1"/>
  <c r="O104" i="1"/>
  <c r="K104" i="1"/>
  <c r="K73" i="1" s="1"/>
  <c r="L98" i="1"/>
  <c r="M98" i="1"/>
  <c r="N98" i="1"/>
  <c r="N82" i="1"/>
  <c r="M82" i="1"/>
  <c r="L82" i="1"/>
  <c r="L73" i="1" l="1"/>
  <c r="N73" i="1"/>
  <c r="M73" i="1"/>
  <c r="O98" i="1"/>
  <c r="J99" i="1"/>
  <c r="P99" i="1" s="1"/>
  <c r="J104" i="1"/>
  <c r="F276" i="1"/>
  <c r="G276" i="1"/>
  <c r="H276" i="1"/>
  <c r="I276" i="1"/>
  <c r="E278" i="1"/>
  <c r="P278" i="1" s="1"/>
  <c r="E252" i="1"/>
  <c r="E179" i="1"/>
  <c r="E180" i="1"/>
  <c r="E136" i="1"/>
  <c r="E276" i="1" l="1"/>
  <c r="P276" i="1" s="1"/>
  <c r="J192" i="1"/>
  <c r="F137" i="1" l="1"/>
  <c r="F134" i="1" s="1"/>
  <c r="E93" i="1" l="1"/>
  <c r="E95" i="1"/>
  <c r="P95" i="1" s="1"/>
  <c r="F94" i="1"/>
  <c r="E241" i="1" l="1"/>
  <c r="P241" i="1" s="1"/>
  <c r="E79" i="1" l="1"/>
  <c r="E256" i="1" l="1"/>
  <c r="P256" i="1" s="1"/>
  <c r="J75" i="1"/>
  <c r="E75" i="1" l="1"/>
  <c r="P75" i="1" l="1"/>
  <c r="F333" i="1"/>
  <c r="G333" i="1"/>
  <c r="H333" i="1"/>
  <c r="I333" i="1"/>
  <c r="J333" i="1"/>
  <c r="K333" i="1"/>
  <c r="L333" i="1"/>
  <c r="M333" i="1"/>
  <c r="N333" i="1"/>
  <c r="O333" i="1"/>
  <c r="E271" i="1" l="1"/>
  <c r="P271" i="1" s="1"/>
  <c r="L177" i="1" l="1"/>
  <c r="G262" i="1" l="1"/>
  <c r="H262" i="1"/>
  <c r="I262" i="1"/>
  <c r="G177" i="1"/>
  <c r="H177" i="1"/>
  <c r="I177" i="1"/>
  <c r="M177" i="1" l="1"/>
  <c r="N177" i="1"/>
  <c r="O177" i="1"/>
  <c r="O169" i="1"/>
  <c r="L169" i="1"/>
  <c r="J173" i="1"/>
  <c r="P173" i="1" s="1"/>
  <c r="J176" i="1"/>
  <c r="K169" i="1"/>
  <c r="J169" i="1" l="1"/>
  <c r="E129" i="1" l="1"/>
  <c r="P129" i="1" s="1"/>
  <c r="J260" i="1" l="1"/>
  <c r="M169" i="1"/>
  <c r="N169" i="1"/>
  <c r="E264" i="1" l="1"/>
  <c r="E150" i="1" l="1"/>
  <c r="P150" i="1" s="1"/>
  <c r="G98" i="1" l="1"/>
  <c r="E184" i="1" l="1"/>
  <c r="E15" i="1" l="1"/>
  <c r="E211" i="1" l="1"/>
  <c r="P211" i="1" s="1"/>
  <c r="E212" i="1"/>
  <c r="E280" i="1"/>
  <c r="P280" i="1" s="1"/>
  <c r="E282" i="1"/>
  <c r="E281" i="1"/>
  <c r="E287" i="1"/>
  <c r="J319" i="1" l="1"/>
  <c r="J253" i="1" l="1"/>
  <c r="E127" i="1" l="1"/>
  <c r="E124" i="1"/>
  <c r="E128" i="1"/>
  <c r="E122" i="1" l="1"/>
  <c r="E164" i="1"/>
  <c r="P125" i="1" l="1"/>
  <c r="E133" i="1" l="1"/>
  <c r="P133" i="1" s="1"/>
  <c r="E292" i="1"/>
  <c r="E291" i="1"/>
  <c r="E290" i="1"/>
  <c r="E342" i="1" l="1"/>
  <c r="E16" i="1" l="1"/>
  <c r="E20" i="1"/>
  <c r="P16" i="1" l="1"/>
  <c r="E311" i="1"/>
  <c r="P311" i="1" s="1"/>
  <c r="E313" i="1"/>
  <c r="E314" i="1"/>
  <c r="P314" i="1" s="1"/>
  <c r="E297" i="1"/>
  <c r="E310" i="1" l="1"/>
  <c r="H98" i="1" l="1"/>
  <c r="I98" i="1"/>
  <c r="E98" i="1" s="1"/>
  <c r="G94" i="1" l="1"/>
  <c r="H94" i="1"/>
  <c r="I94" i="1"/>
  <c r="E94" i="1" s="1"/>
  <c r="O73" i="1" l="1"/>
  <c r="G82" i="1"/>
  <c r="H82" i="1"/>
  <c r="I82" i="1"/>
  <c r="F82" i="1"/>
  <c r="G109" i="1"/>
  <c r="H109" i="1"/>
  <c r="I109" i="1"/>
  <c r="G104" i="1"/>
  <c r="I104" i="1"/>
  <c r="H73" i="1" l="1"/>
  <c r="I73" i="1"/>
  <c r="G73" i="1"/>
  <c r="J82" i="1"/>
  <c r="E82" i="1"/>
  <c r="E76" i="1"/>
  <c r="P76" i="1" s="1"/>
  <c r="P78" i="1"/>
  <c r="P82" i="1" l="1"/>
  <c r="F109" i="1"/>
  <c r="F73" i="1" s="1"/>
  <c r="F56" i="1" l="1"/>
  <c r="J98" i="1" l="1"/>
  <c r="P98" i="1" s="1"/>
  <c r="E119" i="1" l="1"/>
  <c r="P119" i="1" s="1"/>
  <c r="E109" i="1"/>
  <c r="E112" i="1"/>
  <c r="P112" i="1" s="1"/>
  <c r="E111" i="1"/>
  <c r="P111" i="1" s="1"/>
  <c r="E303" i="1" l="1"/>
  <c r="P303" i="1" s="1"/>
  <c r="J309" i="1" l="1"/>
  <c r="J310" i="1"/>
  <c r="P310" i="1" s="1"/>
  <c r="J312" i="1"/>
  <c r="P312" i="1" s="1"/>
  <c r="J313" i="1"/>
  <c r="P313" i="1" s="1"/>
  <c r="J306" i="1" l="1"/>
  <c r="P306" i="1" s="1"/>
  <c r="J307" i="1"/>
  <c r="P307" i="1" s="1"/>
  <c r="I279" i="1"/>
  <c r="E279" i="1" s="1"/>
  <c r="H279" i="1"/>
  <c r="G279" i="1"/>
  <c r="E240" i="1" l="1"/>
  <c r="P240" i="1" s="1"/>
  <c r="J291" i="1" l="1"/>
  <c r="P291" i="1" s="1"/>
  <c r="J55" i="1" l="1"/>
  <c r="E55" i="1"/>
  <c r="P55" i="1" l="1"/>
  <c r="J290" i="1" l="1"/>
  <c r="P290" i="1" s="1"/>
  <c r="J287" i="1"/>
  <c r="P287" i="1" s="1"/>
  <c r="J110" i="1"/>
  <c r="J109" i="1"/>
  <c r="P109" i="1" s="1"/>
  <c r="J50" i="1"/>
  <c r="J321" i="1"/>
  <c r="P321" i="1" s="1"/>
  <c r="J334" i="1"/>
  <c r="P334" i="1" s="1"/>
  <c r="J288" i="1" l="1"/>
  <c r="P212" i="1" l="1"/>
  <c r="E335" i="1"/>
  <c r="P335" i="1" s="1"/>
  <c r="E322" i="1"/>
  <c r="E333" i="1" l="1"/>
  <c r="P333" i="1" s="1"/>
  <c r="E295" i="1"/>
  <c r="E301" i="1"/>
  <c r="P301" i="1" s="1"/>
  <c r="E302" i="1"/>
  <c r="P302" i="1" s="1"/>
  <c r="E296" i="1"/>
  <c r="E50" i="1" l="1"/>
  <c r="P50" i="1" s="1"/>
  <c r="G285" i="1" l="1"/>
  <c r="H288" i="1"/>
  <c r="H285" i="1" s="1"/>
  <c r="I288" i="1"/>
  <c r="K288" i="1"/>
  <c r="L288" i="1"/>
  <c r="L285" i="1" s="1"/>
  <c r="M288" i="1"/>
  <c r="M285" i="1" s="1"/>
  <c r="N288" i="1"/>
  <c r="N285" i="1" s="1"/>
  <c r="O288" i="1"/>
  <c r="E289" i="1"/>
  <c r="P289" i="1" s="1"/>
  <c r="O285" i="1" l="1"/>
  <c r="K285" i="1"/>
  <c r="I285" i="1"/>
  <c r="E288" i="1"/>
  <c r="J292" i="1"/>
  <c r="P292" i="1" s="1"/>
  <c r="J286" i="1"/>
  <c r="P286" i="1" s="1"/>
  <c r="G293" i="1"/>
  <c r="H293" i="1"/>
  <c r="K293" i="1"/>
  <c r="L293" i="1"/>
  <c r="M293" i="1"/>
  <c r="N293" i="1"/>
  <c r="O293" i="1"/>
  <c r="E300" i="1"/>
  <c r="P297" i="1"/>
  <c r="P296" i="1"/>
  <c r="J295" i="1"/>
  <c r="J294" i="1"/>
  <c r="P294" i="1" s="1"/>
  <c r="E242" i="1"/>
  <c r="P242" i="1" s="1"/>
  <c r="E239" i="1"/>
  <c r="P295" i="1" l="1"/>
  <c r="J293" i="1"/>
  <c r="E237" i="1"/>
  <c r="P237" i="1" s="1"/>
  <c r="P288" i="1"/>
  <c r="P300" i="1"/>
  <c r="P239" i="1"/>
  <c r="J285" i="1"/>
  <c r="E285" i="1"/>
  <c r="I293" i="1"/>
  <c r="E298" i="1"/>
  <c r="P285" i="1" l="1"/>
  <c r="P298" i="1"/>
  <c r="E293" i="1"/>
  <c r="P293" i="1" s="1"/>
  <c r="F62" i="1" l="1"/>
  <c r="F13" i="1" s="1"/>
  <c r="F350" i="1" s="1"/>
  <c r="E110" i="1" l="1"/>
  <c r="P110" i="1" s="1"/>
  <c r="J93" i="1" l="1"/>
  <c r="P93" i="1" s="1"/>
  <c r="J108" i="1" l="1"/>
  <c r="J266" i="1" l="1"/>
  <c r="P266" i="1" s="1"/>
  <c r="J267" i="1"/>
  <c r="J48" i="1" l="1"/>
  <c r="J49" i="1"/>
  <c r="E48" i="1"/>
  <c r="E49" i="1"/>
  <c r="J44" i="1" l="1"/>
  <c r="P44" i="1" s="1"/>
  <c r="P49" i="1"/>
  <c r="P48" i="1"/>
  <c r="E267" i="1"/>
  <c r="P267" i="1" s="1"/>
  <c r="J79" i="1" l="1"/>
  <c r="P79" i="1" l="1"/>
  <c r="E222" i="1"/>
  <c r="P222" i="1" s="1"/>
  <c r="J164" i="1" l="1"/>
  <c r="P164" i="1" s="1"/>
  <c r="J120" i="1" l="1"/>
  <c r="E108" i="1"/>
  <c r="P108" i="1" s="1"/>
  <c r="J105" i="1"/>
  <c r="E105" i="1"/>
  <c r="P105" i="1" l="1"/>
  <c r="E104" i="1"/>
  <c r="P104" i="1" s="1"/>
  <c r="E181" i="1" l="1"/>
  <c r="J138" i="1" l="1"/>
  <c r="P138" i="1" s="1"/>
  <c r="J139" i="1"/>
  <c r="E148" i="1"/>
  <c r="K279" i="1" l="1"/>
  <c r="K350" i="1" s="1"/>
  <c r="J261" i="1"/>
  <c r="P261" i="1" s="1"/>
  <c r="J97" i="1"/>
  <c r="J15" i="1"/>
  <c r="P18" i="1"/>
  <c r="E166" i="1"/>
  <c r="J136" i="1"/>
  <c r="E191" i="1"/>
  <c r="P191" i="1" s="1"/>
  <c r="E43" i="1"/>
  <c r="E139" i="1"/>
  <c r="P139" i="1" s="1"/>
  <c r="J181" i="1"/>
  <c r="P181" i="1" s="1"/>
  <c r="J182" i="1"/>
  <c r="E182" i="1"/>
  <c r="J265" i="1"/>
  <c r="E265" i="1"/>
  <c r="E97" i="1"/>
  <c r="E213" i="1"/>
  <c r="P213" i="1" s="1"/>
  <c r="E56" i="1"/>
  <c r="E143" i="1"/>
  <c r="E259" i="1"/>
  <c r="E260" i="1"/>
  <c r="P260" i="1" s="1"/>
  <c r="E319" i="1"/>
  <c r="P319" i="1" s="1"/>
  <c r="G159" i="1"/>
  <c r="H159" i="1"/>
  <c r="I159" i="1"/>
  <c r="I152" i="1" s="1"/>
  <c r="I134" i="1" s="1"/>
  <c r="E137" i="1"/>
  <c r="J137" i="1"/>
  <c r="J128" i="1"/>
  <c r="P128" i="1" s="1"/>
  <c r="J154" i="1"/>
  <c r="P154" i="1" s="1"/>
  <c r="J155" i="1"/>
  <c r="J156" i="1"/>
  <c r="J159" i="1"/>
  <c r="J160" i="1"/>
  <c r="P160" i="1" s="1"/>
  <c r="J161" i="1"/>
  <c r="J162" i="1"/>
  <c r="L279" i="1"/>
  <c r="L350" i="1" s="1"/>
  <c r="M279" i="1"/>
  <c r="M350" i="1" s="1"/>
  <c r="N279" i="1"/>
  <c r="N350" i="1" s="1"/>
  <c r="J166" i="1"/>
  <c r="J83" i="1"/>
  <c r="P83" i="1" s="1"/>
  <c r="J94" i="1"/>
  <c r="J96" i="1"/>
  <c r="P96" i="1" s="1"/>
  <c r="J100" i="1"/>
  <c r="P100" i="1" s="1"/>
  <c r="J102" i="1"/>
  <c r="J103" i="1"/>
  <c r="E102" i="1"/>
  <c r="E103" i="1"/>
  <c r="E120" i="1"/>
  <c r="P120" i="1" s="1"/>
  <c r="E121" i="1"/>
  <c r="P121" i="1" s="1"/>
  <c r="J17" i="1"/>
  <c r="J20" i="1"/>
  <c r="P20" i="1" s="1"/>
  <c r="J21" i="1"/>
  <c r="J24" i="1"/>
  <c r="J25" i="1"/>
  <c r="J26" i="1"/>
  <c r="J33" i="1"/>
  <c r="J43" i="1"/>
  <c r="J54" i="1"/>
  <c r="J52" i="1" s="1"/>
  <c r="J56" i="1"/>
  <c r="J58" i="1"/>
  <c r="J59" i="1"/>
  <c r="J62" i="1"/>
  <c r="J64" i="1"/>
  <c r="E183" i="1"/>
  <c r="E189" i="1"/>
  <c r="E192" i="1"/>
  <c r="P192" i="1" s="1"/>
  <c r="E176" i="1"/>
  <c r="P176" i="1" s="1"/>
  <c r="E171" i="1"/>
  <c r="E140" i="1"/>
  <c r="E141" i="1"/>
  <c r="E142" i="1"/>
  <c r="E144" i="1"/>
  <c r="E149" i="1"/>
  <c r="E155" i="1"/>
  <c r="E156" i="1"/>
  <c r="E157" i="1"/>
  <c r="E161" i="1"/>
  <c r="E162" i="1"/>
  <c r="E168" i="1"/>
  <c r="E232" i="1"/>
  <c r="P232" i="1" s="1"/>
  <c r="E236" i="1"/>
  <c r="E253" i="1"/>
  <c r="E341" i="1"/>
  <c r="E343" i="1"/>
  <c r="E345" i="1"/>
  <c r="E338" i="1"/>
  <c r="E325" i="1"/>
  <c r="E309" i="1"/>
  <c r="P309" i="1" s="1"/>
  <c r="E283" i="1"/>
  <c r="E284" i="1"/>
  <c r="E58" i="1"/>
  <c r="E17" i="1"/>
  <c r="E21" i="1"/>
  <c r="E24" i="1"/>
  <c r="E25" i="1"/>
  <c r="E26" i="1"/>
  <c r="E33" i="1"/>
  <c r="E54" i="1"/>
  <c r="E59" i="1"/>
  <c r="E64" i="1"/>
  <c r="J189" i="1"/>
  <c r="J188" i="1"/>
  <c r="E197" i="1"/>
  <c r="E203" i="1"/>
  <c r="E204" i="1"/>
  <c r="E205" i="1"/>
  <c r="E206" i="1"/>
  <c r="E208" i="1"/>
  <c r="E209" i="1"/>
  <c r="J206" i="1"/>
  <c r="J284" i="1"/>
  <c r="J127" i="1"/>
  <c r="J122" i="1" s="1"/>
  <c r="J124" i="1"/>
  <c r="P124" i="1" s="1"/>
  <c r="J209" i="1"/>
  <c r="J208" i="1"/>
  <c r="J205" i="1"/>
  <c r="J204" i="1"/>
  <c r="J203" i="1"/>
  <c r="J202" i="1"/>
  <c r="P202" i="1" s="1"/>
  <c r="J197" i="1"/>
  <c r="J195" i="1"/>
  <c r="J180" i="1"/>
  <c r="P180" i="1" s="1"/>
  <c r="I336" i="1"/>
  <c r="G62" i="1"/>
  <c r="H62" i="1"/>
  <c r="E62" i="1"/>
  <c r="J345" i="1"/>
  <c r="J346" i="1"/>
  <c r="P346" i="1" s="1"/>
  <c r="H56" i="1"/>
  <c r="H13" i="1" s="1"/>
  <c r="G56" i="1"/>
  <c r="J179" i="1"/>
  <c r="P179" i="1" s="1"/>
  <c r="J342" i="1"/>
  <c r="P342" i="1" s="1"/>
  <c r="J168" i="1"/>
  <c r="J283" i="1"/>
  <c r="J184" i="1"/>
  <c r="P184" i="1" s="1"/>
  <c r="J135" i="1"/>
  <c r="P135" i="1" s="1"/>
  <c r="J140" i="1"/>
  <c r="J141" i="1"/>
  <c r="J142" i="1"/>
  <c r="J143" i="1"/>
  <c r="J144" i="1"/>
  <c r="J145" i="1"/>
  <c r="P145" i="1" s="1"/>
  <c r="J148" i="1"/>
  <c r="P148" i="1" s="1"/>
  <c r="J149" i="1"/>
  <c r="J152" i="1"/>
  <c r="J163" i="1"/>
  <c r="P163" i="1" s="1"/>
  <c r="J171" i="1"/>
  <c r="J322" i="1"/>
  <c r="J264" i="1"/>
  <c r="J337" i="1"/>
  <c r="P337" i="1" s="1"/>
  <c r="J338" i="1"/>
  <c r="J236" i="1"/>
  <c r="J282" i="1"/>
  <c r="P282" i="1" s="1"/>
  <c r="J183" i="1"/>
  <c r="J252" i="1"/>
  <c r="J281" i="1"/>
  <c r="P281" i="1" s="1"/>
  <c r="J259" i="1"/>
  <c r="J13" i="1" l="1"/>
  <c r="J134" i="1"/>
  <c r="G13" i="1"/>
  <c r="P153" i="1"/>
  <c r="I350" i="1"/>
  <c r="J336" i="1"/>
  <c r="J210" i="1"/>
  <c r="P210" i="1" s="1"/>
  <c r="J250" i="1"/>
  <c r="P250" i="1" s="1"/>
  <c r="P58" i="1"/>
  <c r="E169" i="1"/>
  <c r="P169" i="1" s="1"/>
  <c r="J73" i="1"/>
  <c r="J262" i="1"/>
  <c r="P253" i="1"/>
  <c r="P264" i="1"/>
  <c r="P97" i="1"/>
  <c r="P136" i="1"/>
  <c r="J320" i="1"/>
  <c r="P322" i="1"/>
  <c r="E320" i="1"/>
  <c r="P325" i="1"/>
  <c r="P94" i="1"/>
  <c r="P103" i="1"/>
  <c r="P102" i="1"/>
  <c r="E73" i="1"/>
  <c r="P122" i="1"/>
  <c r="P127" i="1"/>
  <c r="P252" i="1"/>
  <c r="P195" i="1"/>
  <c r="J193" i="1"/>
  <c r="P193" i="1" s="1"/>
  <c r="P209" i="1"/>
  <c r="P206" i="1"/>
  <c r="P197" i="1"/>
  <c r="P59" i="1"/>
  <c r="P33" i="1"/>
  <c r="P25" i="1"/>
  <c r="P21" i="1"/>
  <c r="P345" i="1"/>
  <c r="P343" i="1"/>
  <c r="P62" i="1"/>
  <c r="P54" i="1"/>
  <c r="P26" i="1"/>
  <c r="P24" i="1"/>
  <c r="P236" i="1"/>
  <c r="P168" i="1"/>
  <c r="P161" i="1"/>
  <c r="P156" i="1"/>
  <c r="P149" i="1"/>
  <c r="P143" i="1"/>
  <c r="P265" i="1"/>
  <c r="P182" i="1"/>
  <c r="P43" i="1"/>
  <c r="P204" i="1"/>
  <c r="P283" i="1"/>
  <c r="P142" i="1"/>
  <c r="P140" i="1"/>
  <c r="P189" i="1"/>
  <c r="P208" i="1"/>
  <c r="P205" i="1"/>
  <c r="P203" i="1"/>
  <c r="P64" i="1"/>
  <c r="P17" i="1"/>
  <c r="P284" i="1"/>
  <c r="P338" i="1"/>
  <c r="P341" i="1"/>
  <c r="P162" i="1"/>
  <c r="P157" i="1"/>
  <c r="P155" i="1"/>
  <c r="P144" i="1"/>
  <c r="P141" i="1"/>
  <c r="P171" i="1"/>
  <c r="P183" i="1"/>
  <c r="P137" i="1"/>
  <c r="P259" i="1"/>
  <c r="P56" i="1"/>
  <c r="P166" i="1"/>
  <c r="P15" i="1"/>
  <c r="E339" i="1"/>
  <c r="E336" i="1" s="1"/>
  <c r="G152" i="1"/>
  <c r="G134" i="1" s="1"/>
  <c r="E262" i="1"/>
  <c r="J177" i="1"/>
  <c r="J279" i="1"/>
  <c r="P279" i="1" s="1"/>
  <c r="E52" i="1"/>
  <c r="E13" i="1" s="1"/>
  <c r="H152" i="1"/>
  <c r="E152" i="1"/>
  <c r="E134" i="1" s="1"/>
  <c r="P270" i="1"/>
  <c r="E159" i="1"/>
  <c r="P159" i="1" s="1"/>
  <c r="E188" i="1"/>
  <c r="P188" i="1" s="1"/>
  <c r="O279" i="1"/>
  <c r="O350" i="1" s="1"/>
  <c r="H134" i="1" l="1"/>
  <c r="H350" i="1" s="1"/>
  <c r="G350" i="1"/>
  <c r="J350" i="1"/>
  <c r="P13" i="1"/>
  <c r="P336" i="1"/>
  <c r="P73" i="1"/>
  <c r="P320" i="1"/>
  <c r="P339" i="1"/>
  <c r="P134" i="1"/>
  <c r="P152" i="1"/>
  <c r="P52" i="1"/>
  <c r="E177" i="1"/>
  <c r="P177" i="1" s="1"/>
  <c r="E350" i="1" l="1"/>
  <c r="P262" i="1"/>
  <c r="P350" i="1" s="1"/>
</calcChain>
</file>

<file path=xl/sharedStrings.xml><?xml version="1.0" encoding="utf-8"?>
<sst xmlns="http://schemas.openxmlformats.org/spreadsheetml/2006/main" count="879" uniqueCount="595">
  <si>
    <t>(грн.)</t>
  </si>
  <si>
    <t>Разом</t>
  </si>
  <si>
    <t>Всього</t>
  </si>
  <si>
    <t>з них</t>
  </si>
  <si>
    <t>оплата праці</t>
  </si>
  <si>
    <t>комунальні послуги та енергоносії</t>
  </si>
  <si>
    <t>Виконавчий комітет Івано-Франківської міської ради</t>
  </si>
  <si>
    <t>Компенсацiйнi виплати за пiльговий проїзд окремих категорiй громадян на залізничному транспорті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</si>
  <si>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</si>
  <si>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Охорона та раціональне використання природних ресурсів</t>
  </si>
  <si>
    <t>Секретар міської ради</t>
  </si>
  <si>
    <t>Багатопрофільна стаціонарна медична допомога населенню</t>
  </si>
  <si>
    <t>Внески до статутного капіталу суб'єктів господарювання</t>
  </si>
  <si>
    <t>0180</t>
  </si>
  <si>
    <t>0133</t>
  </si>
  <si>
    <t>0930</t>
  </si>
  <si>
    <t>0511</t>
  </si>
  <si>
    <t>0731</t>
  </si>
  <si>
    <t>0721</t>
  </si>
  <si>
    <t>0763</t>
  </si>
  <si>
    <t>0111</t>
  </si>
  <si>
    <t>1070</t>
  </si>
  <si>
    <t>0620</t>
  </si>
  <si>
    <t>0490</t>
  </si>
  <si>
    <t>0411</t>
  </si>
  <si>
    <t xml:space="preserve">в тому числі </t>
  </si>
  <si>
    <t>- виконання рішень судів, стягнення судових витрат</t>
  </si>
  <si>
    <t>0910</t>
  </si>
  <si>
    <t>0921</t>
  </si>
  <si>
    <t>0922</t>
  </si>
  <si>
    <t>0960</t>
  </si>
  <si>
    <t>0950</t>
  </si>
  <si>
    <t>0990</t>
  </si>
  <si>
    <t>1040</t>
  </si>
  <si>
    <t>0810</t>
  </si>
  <si>
    <t xml:space="preserve">Проведення навчально-тренувальних зборiв i змагань з олімпійських видів спорту </t>
  </si>
  <si>
    <t>5011</t>
  </si>
  <si>
    <t>- видатки на виконання судових рішень</t>
  </si>
  <si>
    <t>4060</t>
  </si>
  <si>
    <t>0824</t>
  </si>
  <si>
    <t>0828</t>
  </si>
  <si>
    <t>0829</t>
  </si>
  <si>
    <t>0830</t>
  </si>
  <si>
    <t>1030</t>
  </si>
  <si>
    <t>1060</t>
  </si>
  <si>
    <t>1010</t>
  </si>
  <si>
    <t>1020</t>
  </si>
  <si>
    <t>1090</t>
  </si>
  <si>
    <t>0821</t>
  </si>
  <si>
    <t xml:space="preserve"> видатки споживання</t>
  </si>
  <si>
    <t>видатки розвитку</t>
  </si>
  <si>
    <t>Внески до статутного капіталу суб’єктів господарювання</t>
  </si>
  <si>
    <t>Пільгове медичне обслуговування осіб, які постраждали внаслідок Чорнобильської катастрофи</t>
  </si>
  <si>
    <t>0320</t>
  </si>
  <si>
    <t xml:space="preserve">Проведення навчально-тренувальних зборiв i змагань з неолімпійських видів спорту </t>
  </si>
  <si>
    <t>5012</t>
  </si>
  <si>
    <t>0160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</si>
  <si>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</si>
  <si>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</si>
  <si>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>5021</t>
  </si>
  <si>
    <t>5022</t>
  </si>
  <si>
    <t>5031</t>
  </si>
  <si>
    <t>5061</t>
  </si>
  <si>
    <t>Забезпечення діяльності місцевих центрів фізичного здоров'я населення «Спорт для всіх» та проведення  фізкультурно-масових заходів серед населення регіону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</si>
  <si>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</si>
  <si>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</si>
  <si>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4010</t>
  </si>
  <si>
    <t>Фінансова підтримка театрів</t>
  </si>
  <si>
    <t>4030</t>
  </si>
  <si>
    <t>Забезпечення діяльності бiблiотек</t>
  </si>
  <si>
    <t>Забезпечення діяльності палаців і будинків культури, клубів, центрів дозвілля та інші клубних закладів</t>
  </si>
  <si>
    <t>8410</t>
  </si>
  <si>
    <t>8130</t>
  </si>
  <si>
    <t>7670</t>
  </si>
  <si>
    <t>Надання дошкільної освіти</t>
  </si>
  <si>
    <t>Підвищення кваліфікації, перепідготовка кадрів закладами післядипломної освіти</t>
  </si>
  <si>
    <t>1150</t>
  </si>
  <si>
    <t xml:space="preserve">Методичне забезпечення діяльності навчальних закладів </t>
  </si>
  <si>
    <t>1160</t>
  </si>
  <si>
    <t>3132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</si>
  <si>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</si>
  <si>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</si>
  <si>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 xml:space="preserve">Управління охорони здоров'я Івано-Франківської міської ради </t>
  </si>
  <si>
    <t>2080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</si>
  <si>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</si>
  <si>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</si>
  <si>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</si>
  <si>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</si>
  <si>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8311</t>
  </si>
  <si>
    <t>Реалізація інших заходів щодо соціально-економічного розвитку територій</t>
  </si>
  <si>
    <t>7610</t>
  </si>
  <si>
    <t>8600</t>
  </si>
  <si>
    <t>Обслуговування  місцевого боргу</t>
  </si>
  <si>
    <t>0170</t>
  </si>
  <si>
    <t>Надання інших пільг окремим категоріям громадян відповідно до законодавства</t>
  </si>
  <si>
    <t>3032</t>
  </si>
  <si>
    <t>3121</t>
  </si>
  <si>
    <t>0600000</t>
  </si>
  <si>
    <t>0700000</t>
  </si>
  <si>
    <t>0710000</t>
  </si>
  <si>
    <t>0710160</t>
  </si>
  <si>
    <t>0712010</t>
  </si>
  <si>
    <t>0712080</t>
  </si>
  <si>
    <t>0800000</t>
  </si>
  <si>
    <t>0900000</t>
  </si>
  <si>
    <t>1000000</t>
  </si>
  <si>
    <t>3700000</t>
  </si>
  <si>
    <t>3710000</t>
  </si>
  <si>
    <t>3710160</t>
  </si>
  <si>
    <t>3718600</t>
  </si>
  <si>
    <t>1200000</t>
  </si>
  <si>
    <t>1210000</t>
  </si>
  <si>
    <t>1210160</t>
  </si>
  <si>
    <t>1216030</t>
  </si>
  <si>
    <t>1217670</t>
  </si>
  <si>
    <t>0810160</t>
  </si>
  <si>
    <t>0813031</t>
  </si>
  <si>
    <t>0813032</t>
  </si>
  <si>
    <t>0813050</t>
  </si>
  <si>
    <t>0813090</t>
  </si>
  <si>
    <t>0813104</t>
  </si>
  <si>
    <t>0813121</t>
  </si>
  <si>
    <t>0810000</t>
  </si>
  <si>
    <t>0218130</t>
  </si>
  <si>
    <t>0610000</t>
  </si>
  <si>
    <t>0610160</t>
  </si>
  <si>
    <t>0611010</t>
  </si>
  <si>
    <t>0611020</t>
  </si>
  <si>
    <t>0611070</t>
  </si>
  <si>
    <t>0611140</t>
  </si>
  <si>
    <t>0611150</t>
  </si>
  <si>
    <t>0611160</t>
  </si>
  <si>
    <t>0613132</t>
  </si>
  <si>
    <t>0615031</t>
  </si>
  <si>
    <t>0910000</t>
  </si>
  <si>
    <t>0910160</t>
  </si>
  <si>
    <t>1010000</t>
  </si>
  <si>
    <t>1010160</t>
  </si>
  <si>
    <t>1014010</t>
  </si>
  <si>
    <t>1014030</t>
  </si>
  <si>
    <t>1014060</t>
  </si>
  <si>
    <t>1900000</t>
  </si>
  <si>
    <t>1910000</t>
  </si>
  <si>
    <t>1910160</t>
  </si>
  <si>
    <t>1916030</t>
  </si>
  <si>
    <t>0813033</t>
  </si>
  <si>
    <t>3033</t>
  </si>
  <si>
    <t>0813035</t>
  </si>
  <si>
    <t>3035</t>
  </si>
  <si>
    <t>0210180</t>
  </si>
  <si>
    <t>Інша діяльність у сфері державного управління</t>
  </si>
  <si>
    <t>0217680</t>
  </si>
  <si>
    <t>7680</t>
  </si>
  <si>
    <t>0218210</t>
  </si>
  <si>
    <t>8210</t>
  </si>
  <si>
    <t>0380</t>
  </si>
  <si>
    <t>Муніципальні формування з охорони громадського порядку</t>
  </si>
  <si>
    <t>видатки на утримання Громадського формування з охорони громадського порядку "Штаб"</t>
  </si>
  <si>
    <t>0218220</t>
  </si>
  <si>
    <t>8220</t>
  </si>
  <si>
    <t>0218110</t>
  </si>
  <si>
    <t>8110</t>
  </si>
  <si>
    <t>- відшкодування комунальних послуг за призовну дільницю</t>
  </si>
  <si>
    <t xml:space="preserve">у тому числі: </t>
  </si>
  <si>
    <t>Членські внески до асоціацій органів місцевого самоврядування</t>
  </si>
  <si>
    <t>3710180</t>
  </si>
  <si>
    <t>Іншi діяльність у сфері державного управління</t>
  </si>
  <si>
    <t>Заходи та роботи з мобілізаційної підготовки місцевого значення</t>
  </si>
  <si>
    <t>7622</t>
  </si>
  <si>
    <t>0470</t>
  </si>
  <si>
    <t>2710000</t>
  </si>
  <si>
    <t>2710160</t>
  </si>
  <si>
    <t>2717640</t>
  </si>
  <si>
    <t>7640</t>
  </si>
  <si>
    <t>Інші заходи, пов'язані з економічною діяльністю</t>
  </si>
  <si>
    <t>у тому числі:</t>
  </si>
  <si>
    <t>2717610</t>
  </si>
  <si>
    <t>2700000</t>
  </si>
  <si>
    <t>3100000</t>
  </si>
  <si>
    <t>3110000</t>
  </si>
  <si>
    <t>3110160</t>
  </si>
  <si>
    <t>3117130</t>
  </si>
  <si>
    <t>7130</t>
  </si>
  <si>
    <t>0421</t>
  </si>
  <si>
    <t>Здійснення заходів із землеустрою</t>
  </si>
  <si>
    <t>Іншi програми, заклади та заходи у сфері освіти</t>
  </si>
  <si>
    <t>7350</t>
  </si>
  <si>
    <t>0443</t>
  </si>
  <si>
    <t>1600000</t>
  </si>
  <si>
    <t>1610000</t>
  </si>
  <si>
    <t>1610160</t>
  </si>
  <si>
    <t>1617350</t>
  </si>
  <si>
    <t>Організація та проведення громадських робіт</t>
  </si>
  <si>
    <t>1050</t>
  </si>
  <si>
    <t xml:space="preserve"> за рахунок субвенції з обласного бюджету</t>
  </si>
  <si>
    <t>Будинок нічного перебування</t>
  </si>
  <si>
    <t>1500000</t>
  </si>
  <si>
    <t>1510000</t>
  </si>
  <si>
    <t>1510160</t>
  </si>
  <si>
    <t>1910180</t>
  </si>
  <si>
    <t>1210180</t>
  </si>
  <si>
    <t>0210160</t>
  </si>
  <si>
    <t>0453</t>
  </si>
  <si>
    <t>1510180</t>
  </si>
  <si>
    <t>1917422</t>
  </si>
  <si>
    <t>7422</t>
  </si>
  <si>
    <t>Регулювання цін на послуги місцевого наземного електротранспорту</t>
  </si>
  <si>
    <t>6011</t>
  </si>
  <si>
    <t>Експлуатація та технічне обслуговування житлового фонду</t>
  </si>
  <si>
    <t>1517330</t>
  </si>
  <si>
    <t>7330</t>
  </si>
  <si>
    <t>5041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</si>
  <si>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послуг.</t>
  </si>
  <si>
    <t>0813180</t>
  </si>
  <si>
    <t>3180</t>
  </si>
  <si>
    <t>0813241</t>
  </si>
  <si>
    <t>3241</t>
  </si>
  <si>
    <t>0813240</t>
  </si>
  <si>
    <t>3240</t>
  </si>
  <si>
    <t>0813242</t>
  </si>
  <si>
    <t>3242</t>
  </si>
  <si>
    <t>Інші заходи у сфері соціального захисту і соціального забезпечення</t>
  </si>
  <si>
    <t>в тому числі :</t>
  </si>
  <si>
    <t xml:space="preserve">інші видатки на соціальний захист населення </t>
  </si>
  <si>
    <t>0813160</t>
  </si>
  <si>
    <t>3160</t>
  </si>
  <si>
    <t>Надання соціальних гарантій фізичним особам , які надають соціальні послуги громадянам похилого віку, особам з інвалідністю , дітям з інвалідністю, хворим , які не здатні до самообслуговування і потребують сторонньої допомоги.</t>
  </si>
  <si>
    <t>Амбулаторно-поліклінічна допомога населенню, крім первинної медичної допомоги</t>
  </si>
  <si>
    <t>Проведення навчально-тренувальних зборiв i змагань та заходiв зі спорту осіб з інвалідністю</t>
  </si>
  <si>
    <t>4081</t>
  </si>
  <si>
    <t>1014081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</si>
  <si>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</si>
  <si>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</si>
  <si>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</si>
  <si>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</si>
  <si>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</si>
  <si>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</si>
  <si>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</si>
  <si>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0617691</t>
  </si>
  <si>
    <t>0717691</t>
  </si>
  <si>
    <t>0817691</t>
  </si>
  <si>
    <t>0917691</t>
  </si>
  <si>
    <t>0213210</t>
  </si>
  <si>
    <t>3210</t>
  </si>
  <si>
    <t>Заходи із запобігання та ліквідації надзвичайних ситуацій та наслідків стихійного лиха</t>
  </si>
  <si>
    <t>0810180</t>
  </si>
  <si>
    <t>2717370</t>
  </si>
  <si>
    <t>7370</t>
  </si>
  <si>
    <t xml:space="preserve">Реалізація програм і заходів в галузі туризму та курортів </t>
  </si>
  <si>
    <t>Інші заклади та заходи: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</si>
  <si>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</si>
  <si>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</si>
  <si>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7693</t>
  </si>
  <si>
    <t>у тому числі бюджет розвитку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</si>
  <si>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</si>
  <si>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</si>
  <si>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</si>
  <si>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Загальний фонд</t>
  </si>
  <si>
    <t>Спеціальний фонд</t>
  </si>
  <si>
    <t>0712152</t>
  </si>
  <si>
    <t>2152</t>
  </si>
  <si>
    <t>в тому числі</t>
  </si>
  <si>
    <t>1218311</t>
  </si>
  <si>
    <t>0712111</t>
  </si>
  <si>
    <t>0726</t>
  </si>
  <si>
    <t>Інші програми  та заходи у сфері  охорона здоров'я</t>
  </si>
  <si>
    <t>0217693</t>
  </si>
  <si>
    <t>1610180</t>
  </si>
  <si>
    <t>1014020</t>
  </si>
  <si>
    <t>4020</t>
  </si>
  <si>
    <t>0822</t>
  </si>
  <si>
    <t>Фінансова підтримка філармоній, художніх і музичних колективів, ансамблів, концертних та циркових організацій</t>
  </si>
  <si>
    <t>примусове виконання рішень суду</t>
  </si>
  <si>
    <t>8420</t>
  </si>
  <si>
    <t>Проведення міжнародного мистецького фестивалю країн Карпатського регіону «Carpathian Space»</t>
  </si>
  <si>
    <t>1517370</t>
  </si>
  <si>
    <t>від ________ №________</t>
  </si>
  <si>
    <t>Забезпечення діяльності інклюзивно-ресурсних центрів</t>
  </si>
  <si>
    <t>Управління транспорту та зв'язку Івано-Франківської міської ради</t>
  </si>
  <si>
    <t>Департамент культури  Івано-Франківської міської ради</t>
  </si>
  <si>
    <t>Департамент соціальної політики виконкому Івано-Франківської міської ради</t>
  </si>
  <si>
    <t>Служба у справах дітей виконавчого комітету Івано-Франківської міської ради</t>
  </si>
  <si>
    <t>Департамент освіти та науки  Івано-Франківської міської ради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</si>
  <si>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</si>
  <si>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1216016</t>
  </si>
  <si>
    <t>6016</t>
  </si>
  <si>
    <t>Впровадження засобів обліку витрат та регулювання споживання води та теплової енергії</t>
  </si>
  <si>
    <t>КП"Простір Інноваційних Креацій "Палац" (Потоцьких)</t>
  </si>
  <si>
    <t xml:space="preserve">Інша діяльність у сфері державного управління </t>
  </si>
  <si>
    <t>Додаток 3</t>
  </si>
  <si>
    <t>Програма розвитку місцевого самоврядування та громадянського суспільства в м.Івано-Франківську на 2020-2025 роки</t>
  </si>
  <si>
    <t>Програма "Духовне життя " на 2020-2025 роки</t>
  </si>
  <si>
    <t>1400000</t>
  </si>
  <si>
    <t>1410000</t>
  </si>
  <si>
    <t>Департамент  благоустрою Івано-Франківської міської ради</t>
  </si>
  <si>
    <t>1410160</t>
  </si>
  <si>
    <t>Департамент інфраструктури, житлової та комунальної політики  Івано-Франківської міської ради</t>
  </si>
  <si>
    <t>3400000</t>
  </si>
  <si>
    <t>3410000</t>
  </si>
  <si>
    <t>3410160</t>
  </si>
  <si>
    <t>Департамент адміністративних послуг ( Центр надання адміністративних послуг) Івано-Франківської міської ради</t>
  </si>
  <si>
    <t>2500000</t>
  </si>
  <si>
    <t>2510000</t>
  </si>
  <si>
    <t>2510160</t>
  </si>
  <si>
    <t>2517622</t>
  </si>
  <si>
    <t>2517693</t>
  </si>
  <si>
    <t>2300000</t>
  </si>
  <si>
    <t>2310000</t>
  </si>
  <si>
    <t>2310160</t>
  </si>
  <si>
    <t>Департамент стратегічного розвитку, цифрових трансформацій, роботи із засобами масової інформації, комунікації з мешканцями Івано-Франківської міської ради</t>
  </si>
  <si>
    <t>2310180</t>
  </si>
  <si>
    <t>2318420</t>
  </si>
  <si>
    <t>Надання позашкільної освіти  закладами позашкільної освіти, заходи із позашкільної роботи з дітьми</t>
  </si>
  <si>
    <t>Цільова програма Івано-Франківської міської територіальної громади організації та відзначення загальнодержавних свят територіальної громади, державних пам'ятних дат, релігійних та історичних подій на 2021-2025 роки</t>
  </si>
  <si>
    <t>в тому числі:</t>
  </si>
  <si>
    <t>Департамент містобудування та архітектури  Івано-Франківської міської ради</t>
  </si>
  <si>
    <t>1416030</t>
  </si>
  <si>
    <t>1417670</t>
  </si>
  <si>
    <t>Департамент економічного  розвитку, екології  та енергозбереження Івано-Франківської  міської ради</t>
  </si>
  <si>
    <t>2318410</t>
  </si>
  <si>
    <t>1410180</t>
  </si>
  <si>
    <t>Програма щодо співпраці між професійно-технічними навчальними закладами та промисловими підприємствами і  МСП Івано-Франківської міської територіальної громади</t>
  </si>
  <si>
    <t>Програма промоції Івано-Франківської міської територіальної громади на 2021-2025 роки</t>
  </si>
  <si>
    <t>2717670</t>
  </si>
  <si>
    <t>Програма легалізації заробітної плати та найманої праці  на 2021-2025 роки</t>
  </si>
  <si>
    <t>Управління капітального будівництва  Івано-Франківської міської ради</t>
  </si>
  <si>
    <t>Комплексна  програма  сприяння залученню інвестицій в економіку Івано-Франківської міської територіальної громади та проєктної діяльності на  2021 – 2025 роки</t>
  </si>
  <si>
    <t>Фінансове управління Івано-Франківської міської ради</t>
  </si>
  <si>
    <t>(код бюджету)</t>
  </si>
  <si>
    <t>1011080</t>
  </si>
  <si>
    <t>1080</t>
  </si>
  <si>
    <t>0611021</t>
  </si>
  <si>
    <t>0611025</t>
  </si>
  <si>
    <t>1025</t>
  </si>
  <si>
    <t>0611030</t>
  </si>
  <si>
    <t>Надання загальної середньої освіти  за рахунок освітньої субвенції</t>
  </si>
  <si>
    <t>0611031</t>
  </si>
  <si>
    <t>1031</t>
  </si>
  <si>
    <t>1035</t>
  </si>
  <si>
    <t>0611120</t>
  </si>
  <si>
    <t>1120</t>
  </si>
  <si>
    <t>0611130</t>
  </si>
  <si>
    <t>1130</t>
  </si>
  <si>
    <t>0611141</t>
  </si>
  <si>
    <t>1141</t>
  </si>
  <si>
    <t>0611142</t>
  </si>
  <si>
    <t>1142</t>
  </si>
  <si>
    <t>1140</t>
  </si>
  <si>
    <t>0611151</t>
  </si>
  <si>
    <t>1151</t>
  </si>
  <si>
    <t>0611152</t>
  </si>
  <si>
    <t>1152</t>
  </si>
  <si>
    <t>Забезпечення діяльності центрів професійного розвитку педагогічних працівників</t>
  </si>
  <si>
    <t>0611090</t>
  </si>
  <si>
    <t>Підготовка кадрів закладами професійної (професійно-технічної) освіти та іншими закладами освіти</t>
  </si>
  <si>
    <t>0611091</t>
  </si>
  <si>
    <t>1091</t>
  </si>
  <si>
    <t>Підготовка кадрів закладами професійної (професійно-технічної) освіти та іншими закладами освіти за рахунок коштів місцевого бюджету</t>
  </si>
  <si>
    <t>0611092</t>
  </si>
  <si>
    <t>1092</t>
  </si>
  <si>
    <t>Підготовка кадрів закладами професійної (професійно-технічної) освіти та іншими закладами освіти за рахунок освітньої субвенції</t>
  </si>
  <si>
    <t>Надання пільг окремим категоріям громадян з оплати послуг зв`язку</t>
  </si>
  <si>
    <t>Забезпечення діяльності інших  закладів у сфері освіти</t>
  </si>
  <si>
    <t xml:space="preserve"> Іншi програми та заходи у сфері освіти</t>
  </si>
  <si>
    <t>Забезпечення діяльності інклюзивно-ресурсних центрів за рахунок коштів місцевого бюджету</t>
  </si>
  <si>
    <t>Забезпечення діяльності інклюзивно-ресурсних центрів за рахунок коштів освітньої субвенції</t>
  </si>
  <si>
    <t>8710</t>
  </si>
  <si>
    <t>Резервний фонд місцевого бюджету</t>
  </si>
  <si>
    <t>3718710</t>
  </si>
  <si>
    <t>Надання загальної середньої освіти  за рахунок коштів місцевого бюджету</t>
  </si>
  <si>
    <t>0610180</t>
  </si>
  <si>
    <t>Програма забезпечення виконання рішень суду щодо безспірного списання коштів з розпорядника бюджетних коштів Департаменту  освіти та науки Івано-Франківської  міської ради на 2021-2025 роки</t>
  </si>
  <si>
    <t>Керівництво і управління увідповідній  сфері у містах (місті Києві), селищах, селах, територіальних громадах</t>
  </si>
  <si>
    <t>Програма розвитку професіоналізму і компетентності депутатів місцевих рад та посадорвих осіб місцевого самоврядування на 2021-2025 роки</t>
  </si>
  <si>
    <t>Комплексна програма запобігання виникненню надзвичайних ситуацій природного і техногенного характеру та підвищення рівня готовності аварійно-рятувальної служби м.Івано-Франківська до дій за призначенням на 2021-2025 роки</t>
  </si>
  <si>
    <t>видатки на утримання КП "Муніципальна інспенкція "Добродій"</t>
  </si>
  <si>
    <t>7140</t>
  </si>
  <si>
    <t>Інші заходи у сфері сільського господарства</t>
  </si>
  <si>
    <t>Сприяння розвитку малого та середнього підприємництва в тому числі:</t>
  </si>
  <si>
    <t>Заходи з енергозбереження в тому числі:</t>
  </si>
  <si>
    <t>Програма сталого енергетичного розвитку Івано-Франківської міької територіальної громади до 2030 року</t>
  </si>
  <si>
    <t>0210170</t>
  </si>
  <si>
    <t>0131</t>
  </si>
  <si>
    <t>Підвищення кваліфікації депутатів місцевих ради та посадових осіб місцевого самоврядування в тому числі:</t>
  </si>
  <si>
    <t>0611101</t>
  </si>
  <si>
    <t>1101</t>
  </si>
  <si>
    <t xml:space="preserve">Підготовка кадрів закладами фахової передвищої освіти за рахунок коштів місцевого бюджету </t>
  </si>
  <si>
    <t>1216011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</si>
  <si>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</si>
  <si>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</si>
  <si>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</si>
  <si>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0941</t>
  </si>
  <si>
    <t xml:space="preserve">Надання спеціалізованої освіти мистецькими школами  </t>
  </si>
  <si>
    <t>0913241</t>
  </si>
  <si>
    <t>Програми і заходи цнтру  служб для сім'ї, дітей та молоді</t>
  </si>
  <si>
    <t>Розроблення схем планування та забудови територій (містобудівної документації) в тому числі:</t>
  </si>
  <si>
    <t>Розроблення містобудівної документації</t>
  </si>
  <si>
    <t>Керівництво і управління у відповідній  сфері у містах (місті Києві), селищах, селах, територіальних громадах</t>
  </si>
  <si>
    <t>1516030</t>
  </si>
  <si>
    <t>1416013</t>
  </si>
  <si>
    <t>3230</t>
  </si>
  <si>
    <t>Видатки пов'язані з наданням підтримки внутрішньо переміщеним та/або евакуйованим особам у зв’язку із введенням воєнного стану в Україні</t>
  </si>
  <si>
    <t>1700000</t>
  </si>
  <si>
    <t>1710000</t>
  </si>
  <si>
    <t>1710160</t>
  </si>
  <si>
    <t xml:space="preserve">  0953300000      </t>
  </si>
  <si>
    <t>3117140</t>
  </si>
  <si>
    <t>3117110</t>
  </si>
  <si>
    <t>7110</t>
  </si>
  <si>
    <t>Реалізація програм в галузі сільського господарства</t>
  </si>
  <si>
    <t>0218240</t>
  </si>
  <si>
    <t xml:space="preserve"> Заходи та роботи з територіальної оборони</t>
  </si>
  <si>
    <t>8240</t>
  </si>
  <si>
    <t>Проєкт "Нова економіка  Івано-Франківська"</t>
  </si>
  <si>
    <t>Програма розвитку міжнародного і транскордонного співробітництва Івано-Франківської міської територіальної громади  на 2023-2027 роки</t>
  </si>
  <si>
    <t>Забезпечення діяльності місцевої  та добровільної пожежної охорони</t>
  </si>
  <si>
    <t>КП Муніципальні ринки Івано-Франківської міської ради</t>
  </si>
  <si>
    <t>1617691</t>
  </si>
  <si>
    <t>Містечко милосердя "Святого Миколая"</t>
  </si>
  <si>
    <t>0217140</t>
  </si>
  <si>
    <t xml:space="preserve">             до  рішення ___________________міської ради</t>
  </si>
  <si>
    <t>Будівництво інших об'єктів комунальної власності</t>
  </si>
  <si>
    <t>3133</t>
  </si>
  <si>
    <t>0611035</t>
  </si>
  <si>
    <t>КЗ "Дім воїна"</t>
  </si>
  <si>
    <t>КУ "ІФМЦ "Рух""</t>
  </si>
  <si>
    <t>КП "Електроавтотранс"</t>
  </si>
  <si>
    <t>ДМП "Івано-Франківськтеплокомуненерго"</t>
  </si>
  <si>
    <t>Інші заходи громадського порядку та безпеки</t>
  </si>
  <si>
    <t>0218230</t>
  </si>
  <si>
    <t>8230</t>
  </si>
  <si>
    <t xml:space="preserve"> в тому числі:Комплексна програма профілактики злочинності в місті до 2028 року</t>
  </si>
  <si>
    <t>Співфінансування проєкту "Створення інфраструктури для бізнесу, що постраждав від війни", в рамках Програми розвитку ООН в Україні</t>
  </si>
  <si>
    <t>Програма поліпшення стану безпеки, гігєни праці та виробничого середовища на 2024-2028 роки Івано-Франківської міської територіальної громади</t>
  </si>
  <si>
    <t>Програма поетапного відключення (відокремлення ) споживачів теплової енергії, що постачається котельнею на вул. Індустріальній, 34, від системи централізованого опалення та переведення їх на альтернативні джерела теплопостачання</t>
  </si>
  <si>
    <t>Програма  сприяння розвитку підприємництва в Івано-Франкіській міській територіальній громаді на 2022-2025 роки</t>
  </si>
  <si>
    <t>Програма сприяння розвитку волонтерства Івано-Франківської міської територіальної громади  на 2023-2025 роки</t>
  </si>
  <si>
    <t>КЗ "Центр соціальної  підтримки дітей та сімей" ІФМР</t>
  </si>
  <si>
    <t>Компенсаційні виплати на пільговий проїзд автомобільним транспортом окремим категоріям громадян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</si>
  <si>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</si>
  <si>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</si>
  <si>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Управління з питань державного  архітектурно-будівельного контролю Івано-Франківської міської ради</t>
  </si>
  <si>
    <t>Управління з питань державного архітектурно-будівельного контролю Івано-Франківської міської ради</t>
  </si>
  <si>
    <t>Департамент інвестиційної політики, проєктів, міжнародних зв'язків, туризму та промоцій міста Івано-Франківської міської ради</t>
  </si>
  <si>
    <t>Департамент комунальних ресурсів сільського  господарства Івано-Франківської міської ради</t>
  </si>
  <si>
    <t>Департамент комунальних ресурсів та сільського господарства Івано-Франківської міської ради</t>
  </si>
  <si>
    <t>Довгострокова Програма фінансування мобілізаційно-оборонної роботи Івано-Франківської міської ради та підтримки Збройних Сил України, Національної гвардії України, правоохоронних органів, інших, утворених відповідно до законодавства збройних формувань на 2024-2028 роки</t>
  </si>
  <si>
    <t>Розподіл видатків  бюджету  Івано-Франківської міської територіальної громади на 2025 рік</t>
  </si>
  <si>
    <t>Програма забезпечення виконання рішень суду щодо безспірного списання коштів з розпорядника бюджетних коштів Виконавчого комітету Івано-Франківської міської ради на 2022-2025 роки</t>
  </si>
  <si>
    <t>Порограма розвитку електронного урядування в  Івано-Франківській  міській територіальній громаді на 2025-2027 роки</t>
  </si>
  <si>
    <t>Проект " DAPHNE-Декарбонізація охорони здоров'я в регіонах ЄС" в рамках міжрегіональної співпраці Interreg Europe</t>
  </si>
  <si>
    <t>КП "Центр розвитку міста та рекреації""</t>
  </si>
  <si>
    <t>1516091</t>
  </si>
  <si>
    <t>6091</t>
  </si>
  <si>
    <t>0640</t>
  </si>
  <si>
    <t>1516011</t>
  </si>
  <si>
    <t>Проєкт "Міські парки мають значення - новий підхід до управління міськими зеленими насадженнями в Івано-Франківську та Жешуві"</t>
  </si>
  <si>
    <t>Проєкт "Дихай вільно - спільна ініціатива муніципалітетів Івано-Франківська та Постдама для забезпечення щасливого дитинства"</t>
  </si>
  <si>
    <t xml:space="preserve">Програма розвитку комунального підприємства "Франківськ АГРО" Івано-Франківської міської ради </t>
  </si>
  <si>
    <t>Програма розвитку Комунального виробничого підприємства "Архітектурно-планувальне бюро - ІФ"</t>
  </si>
  <si>
    <t>3110180</t>
  </si>
  <si>
    <t>Проєкт "Підвищення енергоефективності будівель медичних закладів м. Івано-Франківська" (кредитні кошти ЄІБ)</t>
  </si>
  <si>
    <t>Фінансова підтримка медіа (засобів масової інформації)</t>
  </si>
  <si>
    <t>Інші заходи у сфері медіа (засобів масової інформації)</t>
  </si>
  <si>
    <t>5049</t>
  </si>
  <si>
    <t>Виконання окремих заходів з реалізації соціального проекту "Активні парки - локації здорової України"</t>
  </si>
  <si>
    <t>Міська цільова програма «Партиципаторне бюджетування (бюджет участі)  у Івано-Франківській міській територіальній громаді»</t>
  </si>
  <si>
    <t xml:space="preserve">Надання загальної середньої освіти навчально-реабілітаційними центрами для осіб з особливими освітніми потребами, зумовленими складними порушеннями розвитку за рахунок коштів місцевого бюджету </t>
  </si>
  <si>
    <t>Надання загальної середньої освіти навчально-реабілітаційними центрами для осіб з особливими освітніми потребами, зумовленими складними порушеннями розвитку за рахунок освітньої субвенції</t>
  </si>
  <si>
    <t>- Викуп земельних ділянок під кладовище у с. Чукалівка</t>
  </si>
  <si>
    <t>1216091</t>
  </si>
  <si>
    <t>Програма підтримки розвитку та реконструкції газорозподільних мереж на території Івано-Франківської міської територіальної громади на 2024-2025 рлки</t>
  </si>
  <si>
    <t>2718330</t>
  </si>
  <si>
    <t>8330</t>
  </si>
  <si>
    <t>Інша діяльність у сфері екології та охорони природних ресурсів</t>
  </si>
  <si>
    <t>0540</t>
  </si>
  <si>
    <t>3117691</t>
  </si>
  <si>
    <t>3719110</t>
  </si>
  <si>
    <t>9110</t>
  </si>
  <si>
    <t xml:space="preserve">Реверсна дотація </t>
  </si>
  <si>
    <t>Поточний ремонт громадського простору дружнього до дітей на площі Міцкевича (поряд з дитячою бібліотекою)</t>
  </si>
  <si>
    <t>Поточний ремонт дитячого майданчика на вул. 2000-річчя Різдва Христового в м. Івано-Франківську</t>
  </si>
  <si>
    <t>в тому числі поточний ремонт палат в пологовому відділення</t>
  </si>
  <si>
    <t xml:space="preserve">КЗ ІФМ Центр соціально-психологіної реабілітації та денного перебування дітей та осіб з функціональними обмеженнями "Дивосвіт" </t>
  </si>
  <si>
    <t>КЗ «Дім воїна» облаштування приміщень КУ «ІФМЦ «РУХ» для реабілітації військовослужбовців</t>
  </si>
  <si>
    <t>Департамент молодіжної політики та спорту, розвитку територій і роботи з внутрішньо переміщеними особами Івано-Франківської міської ради</t>
  </si>
  <si>
    <t>Програма заходів національного спротиву Івано-Франківської міської територіальної громади на 2025 рік</t>
  </si>
  <si>
    <t>1113230</t>
  </si>
  <si>
    <t>Створення умов для творчого, інтелектуального, духовного та фізичного розвитку дітей та молоді за місцем продживання</t>
  </si>
  <si>
    <t>0611200</t>
  </si>
  <si>
    <t>1200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</si>
  <si>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освітніми потребами</t>
  </si>
  <si>
    <t>0611403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</si>
  <si>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</si>
  <si>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1403</t>
  </si>
  <si>
    <t>0611600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</si>
  <si>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</si>
  <si>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бюддету місцевим бюджетам</t>
  </si>
  <si>
    <t>Розвиток та підтримка доступної спортивної інфрастуктури</t>
  </si>
  <si>
    <t>Розвиток фізичної культури і спорту осіб (дітей) з інвалідністю центрами з фізичної культури і спорту та дитячсо-юнацькими спортивними школами осіб з інвалідністю</t>
  </si>
  <si>
    <t>0611184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</si>
  <si>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</si>
  <si>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</si>
  <si>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3117670</t>
  </si>
  <si>
    <t xml:space="preserve">в т. ч. </t>
  </si>
  <si>
    <t>КП "Франківськ АГРО"</t>
  </si>
  <si>
    <t>Віктор СИНИШИН</t>
  </si>
  <si>
    <t>Здійснення соціальної роботи та наданнясоціальних послуг центрами соціальних служб тацентрами надання соціальних послугособам/сім’ям, які належать до вразливих групнаселення та/або перебувають у складнихжиттєвих обставинах</t>
  </si>
  <si>
    <t>Забезпечення молодіжними центрами соціального становлення та розвитку молоді та інші заходи усфері молодіжної політики, в т. ч.:</t>
  </si>
  <si>
    <t>Надання комплексу послуг особам/сім’ям у сфері соціального захисту та соціального забезпеченняіншими надавачами соціальних послуг</t>
  </si>
  <si>
    <t>Надання комплексу послуг особам/сім’ям у сфер ісоціального захисту та соціального забезпеченняіншими надавачами соціальних послуг</t>
  </si>
  <si>
    <t>Будівництво¹ об'єктів житлово-комунального господарства</t>
  </si>
  <si>
    <t xml:space="preserve"> </t>
  </si>
  <si>
    <t>0611300</t>
  </si>
  <si>
    <t>1300</t>
  </si>
  <si>
    <t>Будівництво¹ освітніх установ та закладів</t>
  </si>
  <si>
    <t>КП "Івано-Франківськміськсвітло"</t>
  </si>
  <si>
    <t>1617670</t>
  </si>
  <si>
    <t>КП "Простір інноваційних Креацій "Палац" (Потоцьких)</t>
  </si>
  <si>
    <t>Субвенція з обласного бюджету на капітальний ремонт частини приміщень школи ППШ "Католицька школа св. Василія Великого" (вул. Василіянок, 17, місто Івано-Франківськ, Івано-Франківської області)</t>
  </si>
  <si>
    <t>Субвенція з обласного бюджету на придбання мультимедійного обладнання для навчального кабінету Ліцею № 20 Івано-Франківської міської ради</t>
  </si>
  <si>
    <t>Субвенція з обласного бюджету на прокладання водовідведення по вул. Гаврилюка в с. Чукалівка Івано-Франківської територіальної громади</t>
  </si>
  <si>
    <t>Субвенція з обласного бюджету на влаштування вуличного освітлення в присілку Мельники села Камінне Івано-Франківської міської територіальної громади</t>
  </si>
  <si>
    <t>1214084</t>
  </si>
  <si>
    <t>4084</t>
  </si>
  <si>
    <t>Проектування, реставрація та охорона пам'яток культурної спадщини</t>
  </si>
  <si>
    <t>Субвенція з обласного бюджету на ремонт (реставраційний) даху будинку, пам'ятки архітектури місцевого значення охоронний номер 1785-ІФ, за адресою вул. Василіянок, 11 у м. Івано-Франківську</t>
  </si>
  <si>
    <t>Субвенція з обласного бюджету на проведення заходів з енергозбереження (заміна вхідних дверей) у другому під'їзді на вул. Сорохтея, буд. 30 в м. Івано-Франківську Івано-Франківської територіальної громади</t>
  </si>
  <si>
    <t>Субвенція з обласного бюджету на проведення заходів з енергозбереження (заміна вхідних дверей) у третьому під'їзді на вул. Сорохтея, буд. 30 в м. Івано-Франківську Івано-Франківської територіальної громади</t>
  </si>
  <si>
    <t>3719800</t>
  </si>
  <si>
    <t>9800</t>
  </si>
  <si>
    <t xml:space="preserve"> Субвенція з місцевого бюджету державному бюджету на виконання програм соціально-економічного розвитку регіонів</t>
  </si>
  <si>
    <t xml:space="preserve">Субвенція з обласного бюджету для придбання будівельних матеріалів для ремонту будівлі релігійної організації "Івано-Франківський богословський інститут" м. Івано-Франківська, вул. Грюнвальдська, 3 </t>
  </si>
  <si>
    <t>Субвенція з обласного бюджету для придбання будівельних матеріалів для Храму Преображення Господнього за адресою: м. Івано-Франківськ, вул. Калуське шосе, 3</t>
  </si>
  <si>
    <t xml:space="preserve">Субвенція з обласного бюджету для придбання матеріалів, будівельних матеріалів для проведення ремонтних робіт Храму релігійної громади Різдва Пресвятої Богородиці Української Греко-Католицької Церкви міста Івано-Франківська </t>
  </si>
  <si>
    <t>Субвенція з обласного бюджету для придбання матеріалів, будівельних матеріалів для проведення ремонтних робіт господарським способом для Релігійної громади (Парафії) Святого Миколая Української Греко-Католицької Церкви міста Івано-Франківська</t>
  </si>
  <si>
    <t xml:space="preserve">Субвенція з обласного бюджету  на зміцнення матеріально-технічної бази ліцею № 4 Івано-Франківської міської ради, вул. Південний Бульвар, 24            </t>
  </si>
  <si>
    <t xml:space="preserve">Субвенція з обласного бюджету зміцнення матеріально-технічної бази Ліцею № 18  Івано-Франківської міської ради </t>
  </si>
  <si>
    <t xml:space="preserve">Субвенція з обласного бюджету на придбання та встановлення дверей у  Ліцеї № 24 Івано-Франківської міської ради  </t>
  </si>
  <si>
    <t xml:space="preserve">Субвенція з обласного бюджету на зміцнення матеріально-технічної бази Ліцею № 24 Івано-Франківської міської ради  </t>
  </si>
  <si>
    <t xml:space="preserve">Субвенція з обласного бюджету на зміцнення матеріально-технічної бази Вовчинецької гімназії Івано-Франківської міської ради           </t>
  </si>
  <si>
    <t xml:space="preserve">Субвенція з обласного бюджету на зміцнення матеріально-технічної бази Закладу релігійної організації дошкільної освіти ( ясла-садок ) " Ковчег " 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</si>
  <si>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</si>
  <si>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 ("КЗ Дім воїна")</t>
  </si>
  <si>
    <t>3719770</t>
  </si>
  <si>
    <t>9770</t>
  </si>
  <si>
    <t>Інші субвенції з місцевого бюджету</t>
  </si>
  <si>
    <t>0611183</t>
  </si>
  <si>
    <t>1183</t>
  </si>
  <si>
    <t xml:space="preserve"> 
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</si>
  <si>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Субвенція з обласного бюджету на проведення заходів з енергозбереження (заміна вікон сходової клітки на вул. Петлюри, буд. 23 (4 під'їзд) в м. Івано-Франківську Івано-Франківської територіальної громади</t>
  </si>
  <si>
    <t>Субвенція з обласного бюджету на благоустрій території по вул. Героїв Миколаєва (масив Рінь) с. Угорники Івано-Франківської територіальної громади</t>
  </si>
  <si>
    <t>Підпрограма "Фонд міської ради на виконання депутатських повноважень"</t>
  </si>
  <si>
    <t>Субвенція з обласного бюджету на оплату послуг з благоустрою території вулиці Кобилянської у місті Івано-Франківськ</t>
  </si>
  <si>
    <t>Субвенція з обласного бюджету на послуги з благоустрою тротуару на вул. Шевченка в с. Братківці Івано-Франківської територіальної громади</t>
  </si>
  <si>
    <t>0218761</t>
  </si>
  <si>
    <t>8761</t>
  </si>
  <si>
    <t>Заходи із запобігання та ліквідації наслідків надзвичайної ситуації внаслідок стихійного лиха за рахунок коштів резервного фонду місцевого бюджету</t>
  </si>
  <si>
    <t>0818751</t>
  </si>
  <si>
    <t>8751</t>
  </si>
  <si>
    <t>Допомога населенню, що постраждало внаслідок надзвичайної ситуації або стихійного лиха, за рахунок коштів резервного фонду місцевого бюджету</t>
  </si>
  <si>
    <t>1617330</t>
  </si>
  <si>
    <t>1217421</t>
  </si>
  <si>
    <t>7421</t>
  </si>
  <si>
    <t>Утримання та розвиток наземного електротранспорту</t>
  </si>
  <si>
    <t>Розвиток здібностей у дітей та молоді з фізичної культури та спорту комунальними дитячо-юнацькими спортивними школами</t>
  </si>
  <si>
    <t>0910180</t>
  </si>
  <si>
    <t>1514083</t>
  </si>
  <si>
    <t>4083</t>
  </si>
  <si>
    <t>Будівництво¹ закладів культури і мистецтва</t>
  </si>
  <si>
    <t>1217210</t>
  </si>
  <si>
    <t>7210</t>
  </si>
  <si>
    <t>0432</t>
  </si>
  <si>
    <t>Організація експлуатації газового господарства</t>
  </si>
  <si>
    <t>Надання поворотної фінансової допомоги АТ «Івано-Франківський локомотиворемонтний завод</t>
  </si>
  <si>
    <t>дотація з ДБ на оплату комунальних послуг ВПО</t>
  </si>
  <si>
    <t>0218775</t>
  </si>
  <si>
    <t>8775</t>
  </si>
  <si>
    <t xml:space="preserve"> Інші заходи за рахунок коштів резервного фонду місцевого бюджету</t>
  </si>
  <si>
    <t>Надання комплексу послуг особам/сім’ям у сфері соціального захисту та соціального забезпечення іншими надавачами соціальних послуг</t>
  </si>
  <si>
    <t>1110180</t>
  </si>
  <si>
    <t xml:space="preserve">Ремонтні роботи храму УГКЦ церква Святого Архистратига Михаїла в с.Вовчинець </t>
  </si>
  <si>
    <t>Реалізація проєкту "IFSynergy - транскордонне співробітництво в SMART- управлінні системами водопостачання в містах Седльці та Івано-Франківську” в рамках Програми “Interreg NEXT Польща-Україна 2021-2027</t>
  </si>
  <si>
    <t>Поточний ремонт Центру культури і мистецтв</t>
  </si>
  <si>
    <t xml:space="preserve">Субвенція з обласного бюджету на зміцнення матеріально-технічної бази будинку культури в с. Підлужжя  </t>
  </si>
  <si>
    <r>
      <rPr>
        <i/>
        <sz val="9"/>
        <rFont val="Times New Roman"/>
        <family val="1"/>
        <charset val="204"/>
      </rPr>
      <t xml:space="preserve">у тому числі   </t>
    </r>
    <r>
      <rPr>
        <sz val="9"/>
        <rFont val="Times New Roman"/>
        <family val="1"/>
        <charset val="204"/>
      </rPr>
      <t>Програма розвитку туристичної галузі Івано-Франківської міської територіальної громади на 2021-2025 роки</t>
    </r>
  </si>
  <si>
    <t>Видатки на поховання учасників бойових дій та осіб з інвалідністю внаслідок війни.</t>
  </si>
  <si>
    <t>0213193</t>
  </si>
  <si>
    <t>0213240</t>
  </si>
  <si>
    <t>0213241</t>
  </si>
  <si>
    <t>0813193</t>
  </si>
  <si>
    <t>Співфінансування освітньої субвенції з державного бюджету в частині створення сучасного освітнього простору у Ліцеї ім. Романа Шухевича Івано-Франківської міської ради</t>
  </si>
  <si>
    <t>0712175</t>
  </si>
  <si>
    <t>2175</t>
  </si>
  <si>
    <t>Реалізація публічних інвестиційних проектів у сфері охорони здоров’я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</si>
</sst>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₴_-;\-* #,##0.00\ _₴_-;_-* &quot;-&quot;??\ _₴_-;_-@_-"/>
    <numFmt numFmtId="165" formatCode="_-* #,##0.00\ _₽_-;\-* #,##0.00\ _₽_-;_-* &quot;-&quot;??\ _₽_-;_-@_-"/>
    <numFmt numFmtId="166" formatCode="0000000"/>
    <numFmt numFmtId="167" formatCode="General_)"/>
    <numFmt numFmtId="168" formatCode="0.0"/>
    <numFmt numFmtId="169" formatCode="#,##0.0"/>
    <numFmt numFmtId="170" formatCode="0_ ;[Red]\-0\ "/>
  </numFmts>
  <fonts count="21" x14ac:knownFonts="1">
    <font>
      <sz val="8"/>
      <name val="Arial"/>
    </font>
    <font>
      <sz val="8"/>
      <name val="Arial"/>
      <family val="2"/>
    </font>
    <font>
      <sz val="12"/>
      <name val="Courier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8">
    <xf numFmtId="0" fontId="0" fillId="0" borderId="0"/>
    <xf numFmtId="0" fontId="3" fillId="0" borderId="0"/>
    <xf numFmtId="167" fontId="2" fillId="0" borderId="0"/>
    <xf numFmtId="0" fontId="1" fillId="0" borderId="0"/>
    <xf numFmtId="0" fontId="4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3" fillId="0" borderId="0"/>
    <xf numFmtId="0" fontId="3" fillId="0" borderId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165">
    <xf numFmtId="0" fontId="0" fillId="0" borderId="0" xfId="0"/>
    <xf numFmtId="0" fontId="9" fillId="0" borderId="0" xfId="0" applyFont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3" fontId="9" fillId="0" borderId="0" xfId="0" applyNumberFormat="1" applyFont="1" applyAlignment="1">
      <alignment horizontal="left"/>
    </xf>
    <xf numFmtId="0" fontId="15" fillId="0" borderId="0" xfId="0" applyFont="1" applyAlignment="1">
      <alignment horizontal="left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3" fontId="12" fillId="0" borderId="3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3" fontId="12" fillId="0" borderId="7" xfId="0" applyNumberFormat="1" applyFont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3" fontId="12" fillId="0" borderId="1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3" fontId="8" fillId="0" borderId="7" xfId="0" applyNumberFormat="1" applyFont="1" applyBorder="1" applyAlignment="1">
      <alignment horizontal="center" vertical="center"/>
    </xf>
    <xf numFmtId="3" fontId="8" fillId="0" borderId="13" xfId="0" applyNumberFormat="1" applyFont="1" applyBorder="1" applyAlignment="1">
      <alignment horizontal="center" vertical="center"/>
    </xf>
    <xf numFmtId="3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49" fontId="8" fillId="0" borderId="2" xfId="0" applyNumberFormat="1" applyFont="1" applyBorder="1" applyAlignment="1">
      <alignment horizontal="left" vertical="center" wrapText="1"/>
    </xf>
    <xf numFmtId="168" fontId="8" fillId="0" borderId="2" xfId="4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8" fillId="0" borderId="0" xfId="12" applyFont="1" applyFill="1" applyAlignment="1">
      <alignment horizontal="left"/>
    </xf>
    <xf numFmtId="49" fontId="8" fillId="0" borderId="2" xfId="8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top" wrapText="1"/>
    </xf>
    <xf numFmtId="49" fontId="15" fillId="0" borderId="3" xfId="0" applyNumberFormat="1" applyFont="1" applyBorder="1" applyAlignment="1">
      <alignment horizontal="center" vertical="center"/>
    </xf>
    <xf numFmtId="3" fontId="15" fillId="0" borderId="0" xfId="0" applyNumberFormat="1" applyFont="1" applyAlignment="1">
      <alignment horizontal="left"/>
    </xf>
    <xf numFmtId="167" fontId="8" fillId="0" borderId="0" xfId="0" applyNumberFormat="1" applyFont="1" applyAlignment="1">
      <alignment horizontal="left"/>
    </xf>
    <xf numFmtId="0" fontId="8" fillId="0" borderId="2" xfId="0" applyFont="1" applyBorder="1" applyAlignment="1">
      <alignment vertical="center" wrapText="1"/>
    </xf>
    <xf numFmtId="170" fontId="8" fillId="0" borderId="0" xfId="0" applyNumberFormat="1" applyFont="1" applyAlignment="1">
      <alignment horizontal="left"/>
    </xf>
    <xf numFmtId="1" fontId="8" fillId="0" borderId="0" xfId="0" applyNumberFormat="1" applyFont="1" applyAlignment="1">
      <alignment horizontal="left"/>
    </xf>
    <xf numFmtId="167" fontId="8" fillId="0" borderId="2" xfId="2" applyFont="1" applyBorder="1" applyAlignment="1">
      <alignment horizontal="left" vertical="center" wrapText="1"/>
    </xf>
    <xf numFmtId="169" fontId="15" fillId="0" borderId="0" xfId="0" applyNumberFormat="1" applyFont="1" applyAlignment="1">
      <alignment horizontal="left"/>
    </xf>
    <xf numFmtId="49" fontId="8" fillId="0" borderId="1" xfId="1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horizontal="justify" vertical="top" wrapText="1"/>
    </xf>
    <xf numFmtId="3" fontId="15" fillId="0" borderId="3" xfId="0" applyNumberFormat="1" applyFont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 vertical="center"/>
    </xf>
    <xf numFmtId="3" fontId="15" fillId="0" borderId="7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15" fillId="0" borderId="13" xfId="0" applyNumberFormat="1" applyFont="1" applyBorder="1" applyAlignment="1">
      <alignment horizontal="center" vertical="center"/>
    </xf>
    <xf numFmtId="164" fontId="15" fillId="0" borderId="0" xfId="12" applyFont="1" applyFill="1" applyBorder="1" applyAlignment="1">
      <alignment horizontal="left"/>
    </xf>
    <xf numFmtId="3" fontId="3" fillId="0" borderId="7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left"/>
    </xf>
    <xf numFmtId="0" fontId="16" fillId="0" borderId="2" xfId="0" applyFont="1" applyBorder="1" applyAlignment="1">
      <alignment horizontal="left" vertical="center" wrapText="1"/>
    </xf>
    <xf numFmtId="49" fontId="8" fillId="0" borderId="3" xfId="8" applyNumberFormat="1" applyFont="1" applyBorder="1" applyAlignment="1">
      <alignment horizontal="center" vertical="center"/>
    </xf>
    <xf numFmtId="49" fontId="8" fillId="0" borderId="1" xfId="8" applyNumberFormat="1" applyFont="1" applyBorder="1" applyAlignment="1">
      <alignment horizontal="center" vertical="center" wrapText="1"/>
    </xf>
    <xf numFmtId="0" fontId="8" fillId="0" borderId="2" xfId="8" applyFont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center" vertical="center"/>
    </xf>
    <xf numFmtId="4" fontId="12" fillId="0" borderId="7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1" fontId="8" fillId="0" borderId="3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169" fontId="8" fillId="0" borderId="3" xfId="0" applyNumberFormat="1" applyFont="1" applyBorder="1" applyAlignment="1">
      <alignment horizontal="center" vertical="center"/>
    </xf>
    <xf numFmtId="169" fontId="8" fillId="0" borderId="1" xfId="0" applyNumberFormat="1" applyFont="1" applyBorder="1" applyAlignment="1">
      <alignment horizontal="center" vertical="center"/>
    </xf>
    <xf numFmtId="1" fontId="15" fillId="0" borderId="3" xfId="0" applyNumberFormat="1" applyFont="1" applyBorder="1" applyAlignment="1">
      <alignment horizontal="center" vertical="center"/>
    </xf>
    <xf numFmtId="0" fontId="8" fillId="0" borderId="2" xfId="3" applyFont="1" applyBorder="1" applyAlignment="1">
      <alignment horizontal="left" vertical="center" wrapText="1"/>
    </xf>
    <xf numFmtId="3" fontId="3" fillId="0" borderId="1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vertical="center" wrapText="1"/>
    </xf>
    <xf numFmtId="49" fontId="8" fillId="0" borderId="1" xfId="6" applyNumberFormat="1" applyFont="1" applyBorder="1" applyAlignment="1">
      <alignment horizontal="center" vertical="center"/>
    </xf>
    <xf numFmtId="49" fontId="8" fillId="0" borderId="1" xfId="6" applyNumberFormat="1" applyFont="1" applyBorder="1" applyAlignment="1">
      <alignment horizontal="center" vertical="center" wrapText="1"/>
    </xf>
    <xf numFmtId="3" fontId="18" fillId="0" borderId="3" xfId="0" applyNumberFormat="1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vertical="center"/>
    </xf>
    <xf numFmtId="3" fontId="18" fillId="0" borderId="7" xfId="0" applyNumberFormat="1" applyFont="1" applyBorder="1" applyAlignment="1">
      <alignment horizontal="center" vertical="center"/>
    </xf>
    <xf numFmtId="3" fontId="18" fillId="0" borderId="13" xfId="0" applyNumberFormat="1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3" fontId="15" fillId="0" borderId="16" xfId="0" applyNumberFormat="1" applyFont="1" applyBorder="1" applyAlignment="1">
      <alignment horizontal="center" vertical="center"/>
    </xf>
    <xf numFmtId="3" fontId="15" fillId="0" borderId="17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3" fontId="8" fillId="0" borderId="0" xfId="0" applyNumberFormat="1" applyFont="1" applyAlignment="1">
      <alignment horizontal="left" vertical="top" wrapText="1"/>
    </xf>
    <xf numFmtId="3" fontId="19" fillId="0" borderId="0" xfId="0" applyNumberFormat="1" applyFont="1" applyAlignment="1">
      <alignment vertical="top" wrapText="1"/>
    </xf>
    <xf numFmtId="0" fontId="19" fillId="0" borderId="0" xfId="0" applyFont="1" applyAlignment="1">
      <alignment vertical="top" wrapText="1"/>
    </xf>
    <xf numFmtId="3" fontId="19" fillId="0" borderId="0" xfId="0" applyNumberFormat="1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49" fontId="20" fillId="0" borderId="0" xfId="0" applyNumberFormat="1" applyFont="1" applyAlignment="1">
      <alignment horizontal="right" vertical="top"/>
    </xf>
    <xf numFmtId="3" fontId="17" fillId="0" borderId="0" xfId="0" applyNumberFormat="1" applyFont="1" applyAlignment="1">
      <alignment horizontal="left" vertical="center"/>
    </xf>
    <xf numFmtId="0" fontId="9" fillId="0" borderId="0" xfId="0" applyFont="1"/>
    <xf numFmtId="3" fontId="3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/>
    </xf>
    <xf numFmtId="169" fontId="17" fillId="0" borderId="0" xfId="0" applyNumberFormat="1" applyFont="1" applyAlignment="1">
      <alignment horizontal="left" vertical="top"/>
    </xf>
    <xf numFmtId="169" fontId="9" fillId="0" borderId="0" xfId="0" applyNumberFormat="1" applyFont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3" fontId="9" fillId="0" borderId="0" xfId="0" applyNumberFormat="1" applyFont="1" applyAlignment="1">
      <alignment horizontal="left" vertical="top"/>
    </xf>
    <xf numFmtId="0" fontId="9" fillId="2" borderId="0" xfId="0" applyFont="1" applyFill="1" applyAlignment="1">
      <alignment horizontal="center" vertical="center"/>
    </xf>
    <xf numFmtId="3" fontId="9" fillId="2" borderId="0" xfId="0" applyNumberFormat="1" applyFont="1" applyFill="1" applyAlignment="1">
      <alignment horizontal="center" vertical="center"/>
    </xf>
    <xf numFmtId="3" fontId="9" fillId="2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left"/>
    </xf>
    <xf numFmtId="49" fontId="9" fillId="2" borderId="0" xfId="0" applyNumberFormat="1" applyFont="1" applyFill="1" applyAlignment="1">
      <alignment horizontal="center" vertical="center"/>
    </xf>
    <xf numFmtId="3" fontId="9" fillId="2" borderId="0" xfId="0" applyNumberFormat="1" applyFont="1" applyFill="1" applyAlignment="1">
      <alignment horizontal="left"/>
    </xf>
    <xf numFmtId="166" fontId="15" fillId="2" borderId="4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3" fontId="12" fillId="2" borderId="4" xfId="0" applyNumberFormat="1" applyFont="1" applyFill="1" applyBorder="1" applyAlignment="1">
      <alignment horizontal="center" vertical="center"/>
    </xf>
    <xf numFmtId="3" fontId="12" fillId="2" borderId="5" xfId="0" applyNumberFormat="1" applyFont="1" applyFill="1" applyBorder="1" applyAlignment="1">
      <alignment horizontal="center" vertical="center"/>
    </xf>
    <xf numFmtId="3" fontId="12" fillId="2" borderId="6" xfId="0" applyNumberFormat="1" applyFont="1" applyFill="1" applyBorder="1" applyAlignment="1">
      <alignment horizontal="center" vertical="center"/>
    </xf>
    <xf numFmtId="3" fontId="12" fillId="2" borderId="14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left"/>
    </xf>
    <xf numFmtId="166" fontId="15" fillId="2" borderId="3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3" fontId="12" fillId="2" borderId="3" xfId="0" applyNumberFormat="1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center" vertical="center"/>
    </xf>
    <xf numFmtId="3" fontId="12" fillId="2" borderId="7" xfId="0" applyNumberFormat="1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3" fontId="12" fillId="2" borderId="13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3" fontId="8" fillId="2" borderId="7" xfId="0" applyNumberFormat="1" applyFont="1" applyFill="1" applyBorder="1" applyAlignment="1">
      <alignment horizontal="center" vertical="center"/>
    </xf>
    <xf numFmtId="3" fontId="8" fillId="2" borderId="13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left"/>
    </xf>
    <xf numFmtId="0" fontId="8" fillId="2" borderId="0" xfId="0" applyFont="1" applyFill="1" applyAlignment="1">
      <alignment horizontal="left"/>
    </xf>
    <xf numFmtId="3" fontId="18" fillId="2" borderId="3" xfId="0" applyNumberFormat="1" applyFont="1" applyFill="1" applyBorder="1" applyAlignment="1">
      <alignment horizontal="center" vertical="center"/>
    </xf>
    <xf numFmtId="3" fontId="18" fillId="2" borderId="1" xfId="0" applyNumberFormat="1" applyFont="1" applyFill="1" applyBorder="1" applyAlignment="1">
      <alignment horizontal="center" vertical="center"/>
    </xf>
    <xf numFmtId="3" fontId="18" fillId="2" borderId="7" xfId="0" applyNumberFormat="1" applyFont="1" applyFill="1" applyBorder="1" applyAlignment="1">
      <alignment horizontal="center" vertical="center"/>
    </xf>
    <xf numFmtId="3" fontId="18" fillId="2" borderId="13" xfId="0" applyNumberFormat="1" applyFont="1" applyFill="1" applyBorder="1" applyAlignment="1">
      <alignment horizontal="center" vertical="center"/>
    </xf>
    <xf numFmtId="3" fontId="15" fillId="0" borderId="19" xfId="0" applyNumberFormat="1" applyFont="1" applyBorder="1" applyAlignment="1">
      <alignment horizontal="center" vertical="center"/>
    </xf>
    <xf numFmtId="3" fontId="15" fillId="0" borderId="20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15" fillId="0" borderId="17" xfId="0" applyFont="1" applyBorder="1" applyAlignment="1">
      <alignment horizontal="right" vertical="center"/>
    </xf>
    <xf numFmtId="0" fontId="15" fillId="0" borderId="18" xfId="0" applyFont="1" applyBorder="1" applyAlignment="1">
      <alignment horizontal="right" vertical="center"/>
    </xf>
    <xf numFmtId="0" fontId="10" fillId="2" borderId="0" xfId="0" applyFont="1" applyFill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 wrapText="1"/>
    </xf>
    <xf numFmtId="3" fontId="14" fillId="2" borderId="10" xfId="0" applyNumberFormat="1" applyFont="1" applyFill="1" applyBorder="1" applyAlignment="1">
      <alignment horizontal="center" vertical="center" wrapText="1"/>
    </xf>
    <xf numFmtId="3" fontId="14" fillId="2" borderId="7" xfId="0" applyNumberFormat="1" applyFont="1" applyFill="1" applyBorder="1" applyAlignment="1">
      <alignment horizontal="center" vertical="center" wrapText="1"/>
    </xf>
    <xf numFmtId="3" fontId="14" fillId="2" borderId="1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3" fontId="9" fillId="2" borderId="0" xfId="0" applyNumberFormat="1" applyFont="1" applyFill="1" applyAlignment="1">
      <alignment horizontal="center" vertical="center"/>
    </xf>
    <xf numFmtId="49" fontId="11" fillId="2" borderId="0" xfId="5" applyNumberFormat="1" applyFont="1" applyFill="1" applyAlignment="1">
      <alignment horizontal="center" vertical="center" wrapText="1"/>
    </xf>
    <xf numFmtId="0" fontId="12" fillId="2" borderId="0" xfId="5" applyFont="1" applyFill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10" xfId="0" applyNumberFormat="1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3" fontId="14" fillId="2" borderId="14" xfId="0" applyNumberFormat="1" applyFont="1" applyFill="1" applyBorder="1" applyAlignment="1">
      <alignment horizontal="center" vertical="center" wrapText="1"/>
    </xf>
    <xf numFmtId="3" fontId="14" fillId="2" borderId="13" xfId="0" applyNumberFormat="1" applyFont="1" applyFill="1" applyBorder="1" applyAlignment="1">
      <alignment horizontal="center" vertical="center" wrapText="1"/>
    </xf>
    <xf numFmtId="3" fontId="14" fillId="2" borderId="15" xfId="0" applyNumberFormat="1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3" fontId="14" fillId="2" borderId="4" xfId="0" applyNumberFormat="1" applyFont="1" applyFill="1" applyBorder="1" applyAlignment="1">
      <alignment horizontal="center" vertical="center" wrapText="1"/>
    </xf>
    <xf numFmtId="3" fontId="14" fillId="2" borderId="5" xfId="0" applyNumberFormat="1" applyFont="1" applyFill="1" applyBorder="1" applyAlignment="1">
      <alignment horizontal="center" vertical="center" wrapText="1"/>
    </xf>
    <xf numFmtId="3" fontId="14" fillId="2" borderId="6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3" fontId="14" fillId="2" borderId="3" xfId="0" applyNumberFormat="1" applyFont="1" applyFill="1" applyBorder="1" applyAlignment="1">
      <alignment horizontal="center" vertical="center" wrapText="1"/>
    </xf>
    <xf numFmtId="3" fontId="14" fillId="2" borderId="9" xfId="0" applyNumberFormat="1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</cellXfs>
  <cellStyles count="18">
    <cellStyle name="Звичайний 2" xfId="8"/>
    <cellStyle name="Звичайний 3" xfId="6"/>
    <cellStyle name="Обычный" xfId="0" builtinId="0"/>
    <cellStyle name="Обычный 2" xfId="11"/>
    <cellStyle name="Обычный 3" xfId="1"/>
    <cellStyle name="Обычный 4" xfId="10"/>
    <cellStyle name="Обычный_osvita" xfId="2"/>
    <cellStyle name="Обычный_TDSheet" xfId="3"/>
    <cellStyle name="Обычный_СОЦ-ЕКОН.РОЗВ.2009" xfId="5"/>
    <cellStyle name="Стиль 1" xfId="4"/>
    <cellStyle name="Финансовый" xfId="12" builtinId="3"/>
    <cellStyle name="Фінансовий 2" xfId="9"/>
    <cellStyle name="Фінансовий 3" xfId="7"/>
    <cellStyle name="Фінансовий 3 2" xfId="13"/>
    <cellStyle name="Фінансовий 3 2 2" xfId="16"/>
    <cellStyle name="Фінансовий 3 3" xfId="15"/>
    <cellStyle name="Фінансовий 4" xfId="14"/>
    <cellStyle name="Фінансовий 4 2" xfId="17"/>
  </cellStyles>
  <dxfs count="0"/>
  <tableStyles count="0" defaultTableStyle="TableStyleMedium9" defaultPivotStyle="PivotStyleLight16"/>
  <colors>
    <mruColors>
      <color rgb="FFCCFF99"/>
      <color rgb="FFFF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S365"/>
  <sheetViews>
    <sheetView showZeros="0" tabSelected="1" zoomScale="90" zoomScaleNormal="90" zoomScaleSheetLayoutView="90" workbookViewId="0">
      <pane xSplit="4" ySplit="12" topLeftCell="E123" activePane="bottomRight" state="frozen"/>
      <selection pane="topRight" activeCell="E1" sqref="E1"/>
      <selection pane="bottomLeft" activeCell="A10" sqref="A10"/>
      <selection pane="bottomRight" activeCell="K125" sqref="K125"/>
    </sheetView>
  </sheetViews>
  <sheetFormatPr defaultColWidth="10.1640625" defaultRowHeight="11.25" x14ac:dyDescent="0.2"/>
  <cols>
    <col min="1" max="1" width="14" style="1" customWidth="1"/>
    <col min="2" max="2" width="14.6640625" style="4" customWidth="1"/>
    <col min="3" max="3" width="15.5" style="4" customWidth="1"/>
    <col min="4" max="4" width="60.33203125" style="84" customWidth="1"/>
    <col min="5" max="9" width="19" style="84" customWidth="1"/>
    <col min="10" max="16" width="19" style="2" customWidth="1"/>
    <col min="17" max="17" width="21.33203125" style="82" customWidth="1"/>
    <col min="18" max="18" width="13" style="82" customWidth="1"/>
    <col min="19" max="152" width="10.1640625" style="82"/>
    <col min="153" max="402" width="0" style="82" hidden="1" customWidth="1"/>
    <col min="403" max="16384" width="10.1640625" style="82"/>
  </cols>
  <sheetData>
    <row r="1" spans="1:17" s="92" customFormat="1" ht="18.75" x14ac:dyDescent="0.2">
      <c r="A1" s="89"/>
      <c r="B1" s="129" t="s">
        <v>447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90"/>
      <c r="P1" s="91"/>
    </row>
    <row r="2" spans="1:17" s="92" customFormat="1" ht="18.75" x14ac:dyDescent="0.2">
      <c r="A2" s="89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90" t="s">
        <v>289</v>
      </c>
      <c r="P2" s="91"/>
    </row>
    <row r="3" spans="1:17" s="92" customFormat="1" x14ac:dyDescent="0.2">
      <c r="A3" s="89"/>
      <c r="B3" s="93"/>
      <c r="C3" s="93"/>
      <c r="J3" s="90"/>
      <c r="K3" s="90"/>
      <c r="L3" s="90"/>
      <c r="M3" s="90"/>
      <c r="N3" s="90" t="s">
        <v>420</v>
      </c>
      <c r="O3" s="90"/>
      <c r="P3" s="90"/>
    </row>
    <row r="4" spans="1:17" s="92" customFormat="1" x14ac:dyDescent="0.2">
      <c r="A4" s="89"/>
      <c r="B4" s="93"/>
      <c r="C4" s="93"/>
      <c r="J4" s="90"/>
      <c r="K4" s="90"/>
      <c r="L4" s="90"/>
      <c r="M4" s="90"/>
      <c r="N4" s="135" t="s">
        <v>276</v>
      </c>
      <c r="O4" s="135"/>
      <c r="P4" s="90"/>
    </row>
    <row r="5" spans="1:17" s="92" customFormat="1" x14ac:dyDescent="0.2">
      <c r="A5" s="89"/>
      <c r="B5" s="93"/>
      <c r="C5" s="93"/>
      <c r="J5" s="90"/>
      <c r="K5" s="90"/>
      <c r="L5" s="90"/>
      <c r="M5" s="90"/>
      <c r="N5" s="90"/>
      <c r="O5" s="90"/>
      <c r="P5" s="90"/>
    </row>
    <row r="6" spans="1:17" s="92" customFormat="1" ht="12" x14ac:dyDescent="0.2">
      <c r="A6" s="136" t="s">
        <v>405</v>
      </c>
      <c r="B6" s="136"/>
      <c r="C6" s="93"/>
      <c r="J6" s="90"/>
      <c r="K6" s="90"/>
      <c r="L6" s="90"/>
      <c r="M6" s="90"/>
      <c r="N6" s="90"/>
      <c r="O6" s="90"/>
      <c r="P6" s="90"/>
    </row>
    <row r="7" spans="1:17" s="92" customFormat="1" ht="12" x14ac:dyDescent="0.2">
      <c r="A7" s="137" t="s">
        <v>328</v>
      </c>
      <c r="B7" s="137"/>
      <c r="C7" s="93"/>
      <c r="E7" s="94"/>
      <c r="J7" s="90"/>
      <c r="K7" s="90"/>
      <c r="L7" s="90"/>
      <c r="M7" s="90"/>
      <c r="N7" s="90"/>
      <c r="O7" s="90"/>
      <c r="P7" s="90"/>
    </row>
    <row r="8" spans="1:17" s="92" customFormat="1" ht="12" thickBot="1" x14ac:dyDescent="0.25">
      <c r="A8" s="89"/>
      <c r="B8" s="93"/>
      <c r="C8" s="93"/>
      <c r="G8" s="94"/>
      <c r="J8" s="90"/>
      <c r="K8" s="90"/>
      <c r="L8" s="90"/>
      <c r="M8" s="90"/>
      <c r="N8" s="90"/>
      <c r="O8" s="90"/>
      <c r="P8" s="90" t="s">
        <v>0</v>
      </c>
    </row>
    <row r="9" spans="1:17" s="92" customFormat="1" ht="24" customHeight="1" x14ac:dyDescent="0.2">
      <c r="A9" s="138" t="s">
        <v>254</v>
      </c>
      <c r="B9" s="141" t="s">
        <v>255</v>
      </c>
      <c r="C9" s="141" t="s">
        <v>256</v>
      </c>
      <c r="D9" s="144" t="s">
        <v>283</v>
      </c>
      <c r="E9" s="147" t="s">
        <v>257</v>
      </c>
      <c r="F9" s="148"/>
      <c r="G9" s="148"/>
      <c r="H9" s="148"/>
      <c r="I9" s="149"/>
      <c r="J9" s="156" t="s">
        <v>258</v>
      </c>
      <c r="K9" s="157"/>
      <c r="L9" s="157"/>
      <c r="M9" s="157"/>
      <c r="N9" s="157"/>
      <c r="O9" s="158"/>
      <c r="P9" s="152" t="s">
        <v>1</v>
      </c>
    </row>
    <row r="10" spans="1:17" s="92" customFormat="1" ht="24" customHeight="1" x14ac:dyDescent="0.2">
      <c r="A10" s="139"/>
      <c r="B10" s="142"/>
      <c r="C10" s="142"/>
      <c r="D10" s="145"/>
      <c r="E10" s="159" t="s">
        <v>2</v>
      </c>
      <c r="F10" s="134" t="s">
        <v>49</v>
      </c>
      <c r="G10" s="134" t="s">
        <v>3</v>
      </c>
      <c r="H10" s="134"/>
      <c r="I10" s="163" t="s">
        <v>50</v>
      </c>
      <c r="J10" s="161" t="s">
        <v>2</v>
      </c>
      <c r="K10" s="130" t="s">
        <v>253</v>
      </c>
      <c r="L10" s="130" t="s">
        <v>49</v>
      </c>
      <c r="M10" s="130" t="s">
        <v>3</v>
      </c>
      <c r="N10" s="130"/>
      <c r="O10" s="132" t="s">
        <v>50</v>
      </c>
      <c r="P10" s="153"/>
    </row>
    <row r="11" spans="1:17" s="92" customFormat="1" ht="24" customHeight="1" x14ac:dyDescent="0.2">
      <c r="A11" s="139"/>
      <c r="B11" s="142"/>
      <c r="C11" s="142"/>
      <c r="D11" s="145"/>
      <c r="E11" s="159"/>
      <c r="F11" s="134"/>
      <c r="G11" s="134" t="s">
        <v>4</v>
      </c>
      <c r="H11" s="134" t="s">
        <v>5</v>
      </c>
      <c r="I11" s="163"/>
      <c r="J11" s="161"/>
      <c r="K11" s="130"/>
      <c r="L11" s="130"/>
      <c r="M11" s="130" t="s">
        <v>4</v>
      </c>
      <c r="N11" s="130" t="s">
        <v>5</v>
      </c>
      <c r="O11" s="132"/>
      <c r="P11" s="153"/>
    </row>
    <row r="12" spans="1:17" s="92" customFormat="1" ht="24" customHeight="1" thickBot="1" x14ac:dyDescent="0.25">
      <c r="A12" s="140"/>
      <c r="B12" s="143"/>
      <c r="C12" s="143"/>
      <c r="D12" s="146"/>
      <c r="E12" s="160"/>
      <c r="F12" s="155"/>
      <c r="G12" s="155"/>
      <c r="H12" s="155"/>
      <c r="I12" s="164"/>
      <c r="J12" s="162"/>
      <c r="K12" s="131"/>
      <c r="L12" s="131"/>
      <c r="M12" s="131"/>
      <c r="N12" s="131"/>
      <c r="O12" s="133"/>
      <c r="P12" s="154"/>
    </row>
    <row r="13" spans="1:17" s="102" customFormat="1" ht="12.75" x14ac:dyDescent="0.2">
      <c r="A13" s="95">
        <v>200000</v>
      </c>
      <c r="B13" s="96"/>
      <c r="C13" s="96"/>
      <c r="D13" s="97" t="s">
        <v>6</v>
      </c>
      <c r="E13" s="98">
        <f>E15+E16+E18+E33+E43+E44+E52+E55+E56+E62+E65+E40+E60+E71+E72+E34+E35</f>
        <v>305949915</v>
      </c>
      <c r="F13" s="99">
        <f>F15+F16+F18+F33+F43+F44+F52+F55+F56+F62+F65+F40+F60+F71+F34+F35</f>
        <v>304336915</v>
      </c>
      <c r="G13" s="99">
        <f>G15+G16+G18+G33+G43+G44+G52+G55+G56+G62+G65+G40+G34+G35</f>
        <v>74300000</v>
      </c>
      <c r="H13" s="99">
        <f>H15+H16+H18+H33+H43+H44+H52+H55+H56+H62+H65+H40+H34+H35</f>
        <v>4097500</v>
      </c>
      <c r="I13" s="100">
        <f>I15+I16+I18+I33+I43+I44+I52+I55+I56+I62+I65+I40+I60+I34+I35</f>
        <v>1400000</v>
      </c>
      <c r="J13" s="98">
        <f>J15+J16+J18+J33+J43+J44+J52+J55+J56+J62+J65+J40+J34+J35</f>
        <v>47835539</v>
      </c>
      <c r="K13" s="99">
        <f>K15+K16+K18+K33+K43+K44+K52+K55+K56+K62+K65+K40+K34+K35</f>
        <v>47785539</v>
      </c>
      <c r="L13" s="99">
        <f>L15+L16+L18+L33+L43+L44+L52+L55+L56+L62+L65+L40+L34+L35</f>
        <v>50000</v>
      </c>
      <c r="M13" s="99">
        <f>M15+M16+M18+M33+M43+M44+M52+M55+M56+M62+M65+M40</f>
        <v>0</v>
      </c>
      <c r="N13" s="99">
        <f t="shared" ref="N13" si="0">N15+N16+N18+N33+N43+N44+N52+N55+N56+N62+N65+N40</f>
        <v>0</v>
      </c>
      <c r="O13" s="100">
        <f>O15+O16+O18+O33+O43+O44+O52+O55+O56+O62+O65+O40+O34+O35</f>
        <v>47785539</v>
      </c>
      <c r="P13" s="101">
        <f>E13+J13</f>
        <v>353785454</v>
      </c>
    </row>
    <row r="14" spans="1:17" s="102" customFormat="1" ht="12.75" x14ac:dyDescent="0.2">
      <c r="A14" s="103">
        <v>210000</v>
      </c>
      <c r="B14" s="104"/>
      <c r="C14" s="104"/>
      <c r="D14" s="105" t="s">
        <v>6</v>
      </c>
      <c r="E14" s="106"/>
      <c r="F14" s="107"/>
      <c r="G14" s="107"/>
      <c r="H14" s="107"/>
      <c r="I14" s="108"/>
      <c r="J14" s="109"/>
      <c r="K14" s="110"/>
      <c r="L14" s="107"/>
      <c r="M14" s="107"/>
      <c r="N14" s="107"/>
      <c r="O14" s="108"/>
      <c r="P14" s="111">
        <f t="shared" ref="P14:P109" si="1">E14+J14</f>
        <v>0</v>
      </c>
    </row>
    <row r="15" spans="1:17" s="118" customFormat="1" ht="24" x14ac:dyDescent="0.2">
      <c r="A15" s="112" t="s">
        <v>201</v>
      </c>
      <c r="B15" s="113" t="s">
        <v>56</v>
      </c>
      <c r="C15" s="113" t="s">
        <v>20</v>
      </c>
      <c r="D15" s="114" t="s">
        <v>397</v>
      </c>
      <c r="E15" s="109">
        <f>F15+I15</f>
        <v>97364550</v>
      </c>
      <c r="F15" s="110">
        <f>97200000+25000+139550</f>
        <v>97364550</v>
      </c>
      <c r="G15" s="110">
        <f>75000000-3100000</f>
        <v>71900000</v>
      </c>
      <c r="H15" s="110">
        <f>3765000+222500</f>
        <v>3987500</v>
      </c>
      <c r="I15" s="115"/>
      <c r="J15" s="109">
        <f>L15+O15</f>
        <v>82000</v>
      </c>
      <c r="K15" s="110">
        <f>32000</f>
        <v>32000</v>
      </c>
      <c r="L15" s="110">
        <v>50000</v>
      </c>
      <c r="M15" s="110"/>
      <c r="N15" s="110"/>
      <c r="O15" s="115">
        <f>32000</f>
        <v>32000</v>
      </c>
      <c r="P15" s="116">
        <f t="shared" si="1"/>
        <v>97446550</v>
      </c>
      <c r="Q15" s="117"/>
    </row>
    <row r="16" spans="1:17" s="118" customFormat="1" ht="24" x14ac:dyDescent="0.2">
      <c r="A16" s="112" t="s">
        <v>381</v>
      </c>
      <c r="B16" s="113" t="s">
        <v>93</v>
      </c>
      <c r="C16" s="113" t="s">
        <v>382</v>
      </c>
      <c r="D16" s="114" t="s">
        <v>383</v>
      </c>
      <c r="E16" s="109">
        <f>F16+I16</f>
        <v>690000</v>
      </c>
      <c r="F16" s="110">
        <f>F17</f>
        <v>690000</v>
      </c>
      <c r="G16" s="110">
        <f t="shared" ref="G16:I16" si="2">G17</f>
        <v>0</v>
      </c>
      <c r="H16" s="110">
        <f t="shared" si="2"/>
        <v>0</v>
      </c>
      <c r="I16" s="115">
        <f t="shared" si="2"/>
        <v>0</v>
      </c>
      <c r="J16" s="109"/>
      <c r="K16" s="110"/>
      <c r="L16" s="110"/>
      <c r="M16" s="110"/>
      <c r="N16" s="110"/>
      <c r="O16" s="115"/>
      <c r="P16" s="116">
        <f t="shared" si="1"/>
        <v>690000</v>
      </c>
    </row>
    <row r="17" spans="1:17" s="118" customFormat="1" ht="36" x14ac:dyDescent="0.2">
      <c r="A17" s="112"/>
      <c r="B17" s="113"/>
      <c r="C17" s="113"/>
      <c r="D17" s="114" t="s">
        <v>373</v>
      </c>
      <c r="E17" s="109">
        <f t="shared" ref="E17:E72" si="3">F17+I17</f>
        <v>690000</v>
      </c>
      <c r="F17" s="110">
        <v>690000</v>
      </c>
      <c r="G17" s="110"/>
      <c r="H17" s="110"/>
      <c r="I17" s="115"/>
      <c r="J17" s="109">
        <f t="shared" ref="J17:J70" si="4">L17+O17</f>
        <v>0</v>
      </c>
      <c r="K17" s="110"/>
      <c r="L17" s="110"/>
      <c r="M17" s="110"/>
      <c r="N17" s="110"/>
      <c r="O17" s="115"/>
      <c r="P17" s="116">
        <f t="shared" si="1"/>
        <v>690000</v>
      </c>
    </row>
    <row r="18" spans="1:17" s="21" customFormat="1" ht="15" customHeight="1" x14ac:dyDescent="0.2">
      <c r="A18" s="15" t="s">
        <v>149</v>
      </c>
      <c r="B18" s="16" t="s">
        <v>13</v>
      </c>
      <c r="C18" s="16" t="s">
        <v>14</v>
      </c>
      <c r="D18" s="17" t="s">
        <v>150</v>
      </c>
      <c r="E18" s="12">
        <f>F18+I18</f>
        <v>6915380</v>
      </c>
      <c r="F18" s="13">
        <f>SUM(F20:F32)</f>
        <v>6915380</v>
      </c>
      <c r="G18" s="13">
        <f t="shared" ref="G18:I18" si="5">SUM(G20:G31)</f>
        <v>0</v>
      </c>
      <c r="H18" s="13">
        <f t="shared" si="5"/>
        <v>10000</v>
      </c>
      <c r="I18" s="18">
        <f t="shared" si="5"/>
        <v>0</v>
      </c>
      <c r="J18" s="12">
        <f>L18+O18</f>
        <v>4369620</v>
      </c>
      <c r="K18" s="13">
        <f>SUM(K19:K31)</f>
        <v>4369620</v>
      </c>
      <c r="L18" s="13">
        <f t="shared" ref="L18:O18" si="6">SUM(L19:L31)</f>
        <v>0</v>
      </c>
      <c r="M18" s="13">
        <f t="shared" si="6"/>
        <v>0</v>
      </c>
      <c r="N18" s="13">
        <f t="shared" si="6"/>
        <v>0</v>
      </c>
      <c r="O18" s="18">
        <f t="shared" si="6"/>
        <v>4369620</v>
      </c>
      <c r="P18" s="19">
        <f>E18+J18</f>
        <v>11285000</v>
      </c>
      <c r="Q18" s="20"/>
    </row>
    <row r="19" spans="1:17" s="21" customFormat="1" ht="12" x14ac:dyDescent="0.2">
      <c r="A19" s="15"/>
      <c r="B19" s="16"/>
      <c r="C19" s="16"/>
      <c r="D19" s="17" t="s">
        <v>163</v>
      </c>
      <c r="E19" s="12"/>
      <c r="F19" s="13"/>
      <c r="G19" s="13"/>
      <c r="H19" s="13"/>
      <c r="I19" s="18"/>
      <c r="J19" s="12"/>
      <c r="K19" s="13"/>
      <c r="L19" s="13"/>
      <c r="M19" s="13"/>
      <c r="N19" s="13"/>
      <c r="O19" s="18"/>
      <c r="P19" s="19">
        <f t="shared" si="1"/>
        <v>0</v>
      </c>
      <c r="Q19" s="20"/>
    </row>
    <row r="20" spans="1:17" s="21" customFormat="1" ht="12" x14ac:dyDescent="0.2">
      <c r="A20" s="15"/>
      <c r="B20" s="16"/>
      <c r="C20" s="16"/>
      <c r="D20" s="22" t="s">
        <v>37</v>
      </c>
      <c r="E20" s="12">
        <f t="shared" si="3"/>
        <v>800000</v>
      </c>
      <c r="F20" s="13">
        <v>800000</v>
      </c>
      <c r="G20" s="13"/>
      <c r="H20" s="13"/>
      <c r="I20" s="18"/>
      <c r="J20" s="12">
        <f t="shared" si="4"/>
        <v>0</v>
      </c>
      <c r="K20" s="13"/>
      <c r="L20" s="13"/>
      <c r="M20" s="13"/>
      <c r="N20" s="13"/>
      <c r="O20" s="18"/>
      <c r="P20" s="19">
        <f t="shared" si="1"/>
        <v>800000</v>
      </c>
    </row>
    <row r="21" spans="1:17" s="21" customFormat="1" ht="51" customHeight="1" x14ac:dyDescent="0.2">
      <c r="A21" s="15"/>
      <c r="B21" s="16"/>
      <c r="C21" s="16"/>
      <c r="D21" s="22" t="s">
        <v>448</v>
      </c>
      <c r="E21" s="12">
        <f t="shared" si="3"/>
        <v>600000</v>
      </c>
      <c r="F21" s="13">
        <v>600000</v>
      </c>
      <c r="G21" s="13"/>
      <c r="H21" s="13"/>
      <c r="I21" s="18"/>
      <c r="J21" s="12">
        <f t="shared" si="4"/>
        <v>0</v>
      </c>
      <c r="K21" s="13"/>
      <c r="L21" s="13"/>
      <c r="M21" s="13"/>
      <c r="N21" s="13"/>
      <c r="O21" s="18"/>
      <c r="P21" s="19">
        <f t="shared" si="1"/>
        <v>600000</v>
      </c>
    </row>
    <row r="22" spans="1:17" s="21" customFormat="1" ht="15.75" customHeight="1" x14ac:dyDescent="0.2">
      <c r="A22" s="15"/>
      <c r="B22" s="16"/>
      <c r="C22" s="16"/>
      <c r="D22" s="22" t="s">
        <v>291</v>
      </c>
      <c r="E22" s="12">
        <f t="shared" si="3"/>
        <v>1000000</v>
      </c>
      <c r="F22" s="13">
        <v>1000000</v>
      </c>
      <c r="G22" s="13"/>
      <c r="H22" s="13"/>
      <c r="I22" s="18"/>
      <c r="J22" s="12"/>
      <c r="K22" s="13"/>
      <c r="L22" s="13"/>
      <c r="M22" s="13"/>
      <c r="N22" s="13"/>
      <c r="O22" s="18"/>
      <c r="P22" s="19">
        <f t="shared" si="1"/>
        <v>1000000</v>
      </c>
    </row>
    <row r="23" spans="1:17" s="21" customFormat="1" ht="12" x14ac:dyDescent="0.2">
      <c r="A23" s="15"/>
      <c r="B23" s="16"/>
      <c r="C23" s="16"/>
      <c r="D23" s="22" t="s">
        <v>469</v>
      </c>
      <c r="E23" s="12"/>
      <c r="F23" s="13"/>
      <c r="G23" s="13"/>
      <c r="H23" s="13"/>
      <c r="I23" s="18"/>
      <c r="J23" s="12">
        <f t="shared" si="4"/>
        <v>4200000</v>
      </c>
      <c r="K23" s="13">
        <f>4200000</f>
        <v>4200000</v>
      </c>
      <c r="L23" s="13"/>
      <c r="M23" s="13"/>
      <c r="N23" s="13"/>
      <c r="O23" s="18">
        <f>4200000</f>
        <v>4200000</v>
      </c>
      <c r="P23" s="19">
        <f t="shared" si="1"/>
        <v>4200000</v>
      </c>
    </row>
    <row r="24" spans="1:17" s="21" customFormat="1" ht="12" x14ac:dyDescent="0.2">
      <c r="A24" s="15"/>
      <c r="B24" s="16"/>
      <c r="C24" s="16"/>
      <c r="D24" s="22" t="s">
        <v>162</v>
      </c>
      <c r="E24" s="12">
        <f t="shared" si="3"/>
        <v>10000</v>
      </c>
      <c r="F24" s="13">
        <v>10000</v>
      </c>
      <c r="G24" s="13"/>
      <c r="H24" s="13">
        <v>10000</v>
      </c>
      <c r="I24" s="18"/>
      <c r="J24" s="12">
        <f t="shared" si="4"/>
        <v>0</v>
      </c>
      <c r="K24" s="13"/>
      <c r="L24" s="13"/>
      <c r="M24" s="13"/>
      <c r="N24" s="13"/>
      <c r="O24" s="18"/>
      <c r="P24" s="19">
        <f t="shared" si="1"/>
        <v>10000</v>
      </c>
    </row>
    <row r="25" spans="1:17" s="21" customFormat="1" ht="48" x14ac:dyDescent="0.2">
      <c r="A25" s="15"/>
      <c r="B25" s="16"/>
      <c r="C25" s="16"/>
      <c r="D25" s="22" t="s">
        <v>313</v>
      </c>
      <c r="E25" s="12">
        <f t="shared" si="3"/>
        <v>3000000</v>
      </c>
      <c r="F25" s="13">
        <v>3000000</v>
      </c>
      <c r="G25" s="13"/>
      <c r="H25" s="13"/>
      <c r="I25" s="18"/>
      <c r="J25" s="12">
        <f t="shared" si="4"/>
        <v>0</v>
      </c>
      <c r="K25" s="13"/>
      <c r="L25" s="13"/>
      <c r="M25" s="13"/>
      <c r="N25" s="13"/>
      <c r="O25" s="18"/>
      <c r="P25" s="19">
        <f t="shared" si="1"/>
        <v>3000000</v>
      </c>
    </row>
    <row r="26" spans="1:17" s="21" customFormat="1" ht="24" x14ac:dyDescent="0.2">
      <c r="A26" s="15"/>
      <c r="B26" s="16"/>
      <c r="C26" s="16"/>
      <c r="D26" s="22" t="s">
        <v>449</v>
      </c>
      <c r="E26" s="12">
        <f t="shared" si="3"/>
        <v>530380</v>
      </c>
      <c r="F26" s="13">
        <f>700000-169620</f>
        <v>530380</v>
      </c>
      <c r="G26" s="13"/>
      <c r="H26" s="13"/>
      <c r="I26" s="18"/>
      <c r="J26" s="12">
        <f t="shared" si="4"/>
        <v>169620</v>
      </c>
      <c r="K26" s="13">
        <f>169620</f>
        <v>169620</v>
      </c>
      <c r="L26" s="13"/>
      <c r="M26" s="13"/>
      <c r="N26" s="13"/>
      <c r="O26" s="18">
        <f>169620</f>
        <v>169620</v>
      </c>
      <c r="P26" s="19">
        <f t="shared" si="1"/>
        <v>700000</v>
      </c>
    </row>
    <row r="27" spans="1:17" s="21" customFormat="1" ht="24" x14ac:dyDescent="0.2">
      <c r="A27" s="15"/>
      <c r="B27" s="16"/>
      <c r="C27" s="16"/>
      <c r="D27" s="22" t="s">
        <v>552</v>
      </c>
      <c r="E27" s="12">
        <f t="shared" si="3"/>
        <v>10000</v>
      </c>
      <c r="F27" s="13">
        <f>10000</f>
        <v>10000</v>
      </c>
      <c r="G27" s="13"/>
      <c r="H27" s="13"/>
      <c r="I27" s="18"/>
      <c r="J27" s="12"/>
      <c r="K27" s="13"/>
      <c r="L27" s="13"/>
      <c r="M27" s="13"/>
      <c r="N27" s="13"/>
      <c r="O27" s="18"/>
      <c r="P27" s="19"/>
    </row>
    <row r="28" spans="1:17" s="21" customFormat="1" ht="48" x14ac:dyDescent="0.2">
      <c r="A28" s="15"/>
      <c r="B28" s="16"/>
      <c r="C28" s="16"/>
      <c r="D28" s="17" t="s">
        <v>532</v>
      </c>
      <c r="E28" s="12">
        <f t="shared" si="3"/>
        <v>400000</v>
      </c>
      <c r="F28" s="13">
        <v>400000</v>
      </c>
      <c r="G28" s="13"/>
      <c r="H28" s="13"/>
      <c r="I28" s="18"/>
      <c r="J28" s="12"/>
      <c r="K28" s="13"/>
      <c r="L28" s="13"/>
      <c r="M28" s="13"/>
      <c r="N28" s="13"/>
      <c r="O28" s="18"/>
      <c r="P28" s="19">
        <f t="shared" si="1"/>
        <v>400000</v>
      </c>
    </row>
    <row r="29" spans="1:17" s="21" customFormat="1" ht="36" x14ac:dyDescent="0.2">
      <c r="A29" s="15"/>
      <c r="B29" s="16"/>
      <c r="C29" s="16"/>
      <c r="D29" s="17" t="s">
        <v>533</v>
      </c>
      <c r="E29" s="12">
        <f t="shared" si="3"/>
        <v>60000</v>
      </c>
      <c r="F29" s="13">
        <v>60000</v>
      </c>
      <c r="G29" s="13"/>
      <c r="H29" s="13"/>
      <c r="I29" s="18"/>
      <c r="J29" s="12"/>
      <c r="K29" s="13"/>
      <c r="L29" s="13"/>
      <c r="M29" s="13"/>
      <c r="N29" s="13"/>
      <c r="O29" s="18"/>
      <c r="P29" s="19">
        <f t="shared" si="1"/>
        <v>60000</v>
      </c>
    </row>
    <row r="30" spans="1:17" s="21" customFormat="1" ht="60.75" customHeight="1" x14ac:dyDescent="0.2">
      <c r="A30" s="15"/>
      <c r="B30" s="16"/>
      <c r="C30" s="16"/>
      <c r="D30" s="17" t="s">
        <v>534</v>
      </c>
      <c r="E30" s="12">
        <f t="shared" si="3"/>
        <v>195000</v>
      </c>
      <c r="F30" s="13">
        <v>195000</v>
      </c>
      <c r="G30" s="13"/>
      <c r="H30" s="13"/>
      <c r="I30" s="18"/>
      <c r="J30" s="12"/>
      <c r="K30" s="13"/>
      <c r="L30" s="13"/>
      <c r="M30" s="13"/>
      <c r="N30" s="13"/>
      <c r="O30" s="18"/>
      <c r="P30" s="19">
        <f t="shared" si="1"/>
        <v>195000</v>
      </c>
    </row>
    <row r="31" spans="1:17" s="21" customFormat="1" ht="64.5" customHeight="1" x14ac:dyDescent="0.2">
      <c r="A31" s="15"/>
      <c r="B31" s="16"/>
      <c r="C31" s="16"/>
      <c r="D31" s="17" t="s">
        <v>535</v>
      </c>
      <c r="E31" s="12">
        <f t="shared" si="3"/>
        <v>200000</v>
      </c>
      <c r="F31" s="13">
        <v>200000</v>
      </c>
      <c r="G31" s="13"/>
      <c r="H31" s="13"/>
      <c r="I31" s="18"/>
      <c r="J31" s="12"/>
      <c r="K31" s="13"/>
      <c r="L31" s="13"/>
      <c r="M31" s="13"/>
      <c r="N31" s="13"/>
      <c r="O31" s="18"/>
      <c r="P31" s="19">
        <f t="shared" si="1"/>
        <v>200000</v>
      </c>
    </row>
    <row r="32" spans="1:17" s="21" customFormat="1" ht="29.45" customHeight="1" x14ac:dyDescent="0.2">
      <c r="A32" s="15"/>
      <c r="B32" s="16"/>
      <c r="C32" s="16"/>
      <c r="D32" s="22" t="s">
        <v>581</v>
      </c>
      <c r="E32" s="12">
        <f t="shared" si="3"/>
        <v>110000</v>
      </c>
      <c r="F32" s="13">
        <v>110000</v>
      </c>
      <c r="G32" s="13"/>
      <c r="H32" s="13"/>
      <c r="I32" s="18"/>
      <c r="J32" s="12"/>
      <c r="K32" s="13"/>
      <c r="L32" s="13"/>
      <c r="M32" s="13"/>
      <c r="N32" s="13"/>
      <c r="O32" s="18"/>
      <c r="P32" s="19">
        <f t="shared" si="1"/>
        <v>110000</v>
      </c>
    </row>
    <row r="33" spans="1:17" s="21" customFormat="1" ht="12" x14ac:dyDescent="0.2">
      <c r="A33" s="15" t="s">
        <v>242</v>
      </c>
      <c r="B33" s="16" t="s">
        <v>243</v>
      </c>
      <c r="C33" s="16" t="s">
        <v>193</v>
      </c>
      <c r="D33" s="17" t="s">
        <v>192</v>
      </c>
      <c r="E33" s="12">
        <f t="shared" si="3"/>
        <v>500000</v>
      </c>
      <c r="F33" s="13">
        <v>500000</v>
      </c>
      <c r="G33" s="13"/>
      <c r="H33" s="13"/>
      <c r="I33" s="18"/>
      <c r="J33" s="12">
        <f t="shared" si="4"/>
        <v>0</v>
      </c>
      <c r="K33" s="13"/>
      <c r="L33" s="13"/>
      <c r="M33" s="13"/>
      <c r="N33" s="13"/>
      <c r="O33" s="18"/>
      <c r="P33" s="19">
        <f t="shared" si="1"/>
        <v>500000</v>
      </c>
    </row>
    <row r="34" spans="1:17" s="118" customFormat="1" ht="48" x14ac:dyDescent="0.2">
      <c r="A34" s="112" t="s">
        <v>587</v>
      </c>
      <c r="B34" s="113" t="s">
        <v>542</v>
      </c>
      <c r="C34" s="113" t="s">
        <v>47</v>
      </c>
      <c r="D34" s="114" t="s">
        <v>543</v>
      </c>
      <c r="E34" s="119">
        <f t="shared" si="3"/>
        <v>212535</v>
      </c>
      <c r="F34" s="120">
        <f>491435-278900</f>
        <v>212535</v>
      </c>
      <c r="G34" s="120">
        <f>400000-250000</f>
        <v>150000</v>
      </c>
      <c r="H34" s="120"/>
      <c r="I34" s="121"/>
      <c r="J34" s="119"/>
      <c r="K34" s="120"/>
      <c r="L34" s="120"/>
      <c r="M34" s="120"/>
      <c r="N34" s="120"/>
      <c r="O34" s="121"/>
      <c r="P34" s="122">
        <f t="shared" si="1"/>
        <v>212535</v>
      </c>
    </row>
    <row r="35" spans="1:17" s="118" customFormat="1" ht="15.75" customHeight="1" x14ac:dyDescent="0.2">
      <c r="A35" s="112" t="s">
        <v>588</v>
      </c>
      <c r="B35" s="113" t="s">
        <v>218</v>
      </c>
      <c r="C35" s="113"/>
      <c r="D35" s="114" t="s">
        <v>249</v>
      </c>
      <c r="E35" s="119">
        <f t="shared" ref="E35:E39" si="7">F35</f>
        <v>11765000</v>
      </c>
      <c r="F35" s="120">
        <f>F36</f>
        <v>11765000</v>
      </c>
      <c r="G35" s="120">
        <f t="shared" ref="G35:O35" si="8">G36</f>
        <v>2250000</v>
      </c>
      <c r="H35" s="120">
        <f t="shared" si="8"/>
        <v>100000</v>
      </c>
      <c r="I35" s="121">
        <f t="shared" si="8"/>
        <v>0</v>
      </c>
      <c r="J35" s="119">
        <f t="shared" si="8"/>
        <v>4000000</v>
      </c>
      <c r="K35" s="120">
        <f t="shared" si="8"/>
        <v>4000000</v>
      </c>
      <c r="L35" s="120">
        <f t="shared" si="8"/>
        <v>0</v>
      </c>
      <c r="M35" s="120">
        <f t="shared" si="8"/>
        <v>0</v>
      </c>
      <c r="N35" s="120">
        <f t="shared" si="8"/>
        <v>0</v>
      </c>
      <c r="O35" s="121">
        <f t="shared" si="8"/>
        <v>4000000</v>
      </c>
      <c r="P35" s="122">
        <f t="shared" si="1"/>
        <v>15765000</v>
      </c>
    </row>
    <row r="36" spans="1:17" s="118" customFormat="1" ht="35.25" customHeight="1" x14ac:dyDescent="0.2">
      <c r="A36" s="112" t="s">
        <v>589</v>
      </c>
      <c r="B36" s="113" t="s">
        <v>216</v>
      </c>
      <c r="C36" s="113" t="s">
        <v>47</v>
      </c>
      <c r="D36" s="114" t="s">
        <v>579</v>
      </c>
      <c r="E36" s="119">
        <f t="shared" si="7"/>
        <v>11765000</v>
      </c>
      <c r="F36" s="120">
        <f>F38+F39</f>
        <v>11765000</v>
      </c>
      <c r="G36" s="120">
        <f>G38+G39</f>
        <v>2250000</v>
      </c>
      <c r="H36" s="120">
        <f t="shared" ref="H36:I36" si="9">H38+H39</f>
        <v>100000</v>
      </c>
      <c r="I36" s="121">
        <f t="shared" si="9"/>
        <v>0</v>
      </c>
      <c r="J36" s="119">
        <f t="shared" ref="J36:J39" si="10">L36+O36</f>
        <v>4000000</v>
      </c>
      <c r="K36" s="120">
        <f>SUM(K37:K39)</f>
        <v>4000000</v>
      </c>
      <c r="L36" s="120">
        <f t="shared" ref="L36:O36" si="11">SUM(L37:L39)</f>
        <v>0</v>
      </c>
      <c r="M36" s="120">
        <f t="shared" si="11"/>
        <v>0</v>
      </c>
      <c r="N36" s="120">
        <f t="shared" si="11"/>
        <v>0</v>
      </c>
      <c r="O36" s="121">
        <f t="shared" si="11"/>
        <v>4000000</v>
      </c>
      <c r="P36" s="122">
        <f t="shared" si="1"/>
        <v>15765000</v>
      </c>
    </row>
    <row r="37" spans="1:17" s="21" customFormat="1" ht="15" x14ac:dyDescent="0.2">
      <c r="A37" s="15"/>
      <c r="B37" s="16"/>
      <c r="C37" s="16"/>
      <c r="D37" s="47" t="s">
        <v>222</v>
      </c>
      <c r="E37" s="66">
        <f t="shared" si="7"/>
        <v>0</v>
      </c>
      <c r="F37" s="67"/>
      <c r="G37" s="67"/>
      <c r="H37" s="67"/>
      <c r="I37" s="68"/>
      <c r="J37" s="66">
        <f t="shared" si="10"/>
        <v>0</v>
      </c>
      <c r="K37" s="67"/>
      <c r="L37" s="67"/>
      <c r="M37" s="67"/>
      <c r="N37" s="67"/>
      <c r="O37" s="68"/>
      <c r="P37" s="69">
        <f t="shared" si="1"/>
        <v>0</v>
      </c>
    </row>
    <row r="38" spans="1:17" s="21" customFormat="1" ht="15" x14ac:dyDescent="0.2">
      <c r="A38" s="15"/>
      <c r="B38" s="16"/>
      <c r="C38" s="16"/>
      <c r="D38" s="47" t="s">
        <v>424</v>
      </c>
      <c r="E38" s="66">
        <f t="shared" si="7"/>
        <v>11765000</v>
      </c>
      <c r="F38" s="67">
        <f>15000000-2200000-1035000</f>
        <v>11765000</v>
      </c>
      <c r="G38" s="67">
        <f>4450000-2200000</f>
        <v>2250000</v>
      </c>
      <c r="H38" s="67">
        <f>160000-60000</f>
        <v>100000</v>
      </c>
      <c r="I38" s="68"/>
      <c r="J38" s="66">
        <f t="shared" si="10"/>
        <v>0</v>
      </c>
      <c r="K38" s="67"/>
      <c r="L38" s="67"/>
      <c r="M38" s="67"/>
      <c r="N38" s="67"/>
      <c r="O38" s="68"/>
      <c r="P38" s="69">
        <f t="shared" si="1"/>
        <v>11765000</v>
      </c>
    </row>
    <row r="39" spans="1:17" s="21" customFormat="1" ht="24" x14ac:dyDescent="0.2">
      <c r="A39" s="15"/>
      <c r="B39" s="16"/>
      <c r="C39" s="16"/>
      <c r="D39" s="47" t="s">
        <v>484</v>
      </c>
      <c r="E39" s="66">
        <f t="shared" si="7"/>
        <v>0</v>
      </c>
      <c r="F39" s="67"/>
      <c r="G39" s="67"/>
      <c r="H39" s="67"/>
      <c r="I39" s="68"/>
      <c r="J39" s="66">
        <f t="shared" si="10"/>
        <v>4000000</v>
      </c>
      <c r="K39" s="67">
        <f>4000000</f>
        <v>4000000</v>
      </c>
      <c r="L39" s="67"/>
      <c r="M39" s="67"/>
      <c r="N39" s="67"/>
      <c r="O39" s="68">
        <f>4000000</f>
        <v>4000000</v>
      </c>
      <c r="P39" s="69">
        <f t="shared" si="1"/>
        <v>4000000</v>
      </c>
    </row>
    <row r="40" spans="1:17" s="21" customFormat="1" ht="12" x14ac:dyDescent="0.2">
      <c r="A40" s="15" t="s">
        <v>419</v>
      </c>
      <c r="B40" s="16" t="s">
        <v>376</v>
      </c>
      <c r="C40" s="16" t="s">
        <v>183</v>
      </c>
      <c r="D40" s="17" t="s">
        <v>377</v>
      </c>
      <c r="E40" s="12">
        <f t="shared" si="3"/>
        <v>1400000</v>
      </c>
      <c r="F40" s="13">
        <f>F42</f>
        <v>0</v>
      </c>
      <c r="G40" s="13"/>
      <c r="H40" s="13"/>
      <c r="I40" s="18">
        <f>I42</f>
        <v>1400000</v>
      </c>
      <c r="J40" s="12"/>
      <c r="K40" s="13"/>
      <c r="L40" s="13"/>
      <c r="M40" s="13"/>
      <c r="N40" s="13"/>
      <c r="O40" s="18"/>
      <c r="P40" s="19">
        <f t="shared" si="1"/>
        <v>1400000</v>
      </c>
    </row>
    <row r="41" spans="1:17" s="21" customFormat="1" ht="12" x14ac:dyDescent="0.2">
      <c r="A41" s="15"/>
      <c r="B41" s="16"/>
      <c r="C41" s="16"/>
      <c r="D41" s="23" t="s">
        <v>175</v>
      </c>
      <c r="E41" s="12"/>
      <c r="F41" s="13"/>
      <c r="G41" s="13"/>
      <c r="H41" s="13"/>
      <c r="I41" s="18"/>
      <c r="J41" s="12"/>
      <c r="K41" s="13"/>
      <c r="L41" s="13"/>
      <c r="M41" s="13"/>
      <c r="N41" s="13"/>
      <c r="O41" s="18"/>
      <c r="P41" s="19">
        <f t="shared" si="1"/>
        <v>0</v>
      </c>
    </row>
    <row r="42" spans="1:17" s="21" customFormat="1" ht="12" x14ac:dyDescent="0.2">
      <c r="A42" s="15"/>
      <c r="B42" s="16"/>
      <c r="C42" s="16"/>
      <c r="D42" s="17" t="s">
        <v>416</v>
      </c>
      <c r="E42" s="12">
        <f t="shared" si="3"/>
        <v>1400000</v>
      </c>
      <c r="F42" s="13"/>
      <c r="G42" s="13"/>
      <c r="H42" s="13"/>
      <c r="I42" s="18">
        <f>1000000+400000</f>
        <v>1400000</v>
      </c>
      <c r="J42" s="12"/>
      <c r="K42" s="13"/>
      <c r="L42" s="13"/>
      <c r="M42" s="13"/>
      <c r="N42" s="13"/>
      <c r="O42" s="18"/>
      <c r="P42" s="19">
        <f t="shared" si="1"/>
        <v>1400000</v>
      </c>
    </row>
    <row r="43" spans="1:17" s="21" customFormat="1" ht="12" x14ac:dyDescent="0.2">
      <c r="A43" s="15" t="s">
        <v>151</v>
      </c>
      <c r="B43" s="16" t="s">
        <v>152</v>
      </c>
      <c r="C43" s="16" t="s">
        <v>23</v>
      </c>
      <c r="D43" s="22" t="s">
        <v>164</v>
      </c>
      <c r="E43" s="12">
        <f>F43+I43</f>
        <v>600000</v>
      </c>
      <c r="F43" s="13">
        <v>600000</v>
      </c>
      <c r="G43" s="13"/>
      <c r="H43" s="13"/>
      <c r="I43" s="18"/>
      <c r="J43" s="12">
        <f t="shared" si="4"/>
        <v>0</v>
      </c>
      <c r="K43" s="13"/>
      <c r="L43" s="13"/>
      <c r="M43" s="13"/>
      <c r="N43" s="13"/>
      <c r="O43" s="18"/>
      <c r="P43" s="19">
        <f t="shared" si="1"/>
        <v>600000</v>
      </c>
      <c r="Q43" s="20"/>
    </row>
    <row r="44" spans="1:17" s="21" customFormat="1" ht="12" x14ac:dyDescent="0.2">
      <c r="A44" s="15" t="s">
        <v>266</v>
      </c>
      <c r="B44" s="24" t="s">
        <v>252</v>
      </c>
      <c r="C44" s="16" t="s">
        <v>23</v>
      </c>
      <c r="D44" s="23" t="s">
        <v>174</v>
      </c>
      <c r="E44" s="12">
        <f>F44+I44</f>
        <v>1225000</v>
      </c>
      <c r="F44" s="13">
        <f>SUM(F46:F50)+F51</f>
        <v>1225000</v>
      </c>
      <c r="G44" s="13">
        <f t="shared" ref="G44:I44" si="12">SUM(G46:G50)</f>
        <v>0</v>
      </c>
      <c r="H44" s="13">
        <f t="shared" si="12"/>
        <v>0</v>
      </c>
      <c r="I44" s="18">
        <f t="shared" si="12"/>
        <v>0</v>
      </c>
      <c r="J44" s="12">
        <f t="shared" ref="J44" si="13">SUM(J45:J51)</f>
        <v>9460000</v>
      </c>
      <c r="K44" s="13">
        <f>SUM(K45:K51)</f>
        <v>9460000</v>
      </c>
      <c r="L44" s="13">
        <f t="shared" ref="L44:O44" si="14">SUM(L45:L51)</f>
        <v>0</v>
      </c>
      <c r="M44" s="13">
        <f t="shared" si="14"/>
        <v>0</v>
      </c>
      <c r="N44" s="13">
        <f t="shared" si="14"/>
        <v>0</v>
      </c>
      <c r="O44" s="18">
        <f t="shared" si="14"/>
        <v>9460000</v>
      </c>
      <c r="P44" s="19">
        <f t="shared" si="1"/>
        <v>10685000</v>
      </c>
    </row>
    <row r="45" spans="1:17" s="21" customFormat="1" ht="12" x14ac:dyDescent="0.2">
      <c r="A45" s="15"/>
      <c r="B45" s="24"/>
      <c r="C45" s="16"/>
      <c r="D45" s="23" t="s">
        <v>175</v>
      </c>
      <c r="E45" s="12"/>
      <c r="F45" s="13"/>
      <c r="G45" s="13"/>
      <c r="H45" s="13"/>
      <c r="I45" s="18"/>
      <c r="J45" s="12"/>
      <c r="K45" s="13"/>
      <c r="L45" s="13"/>
      <c r="M45" s="13"/>
      <c r="N45" s="13"/>
      <c r="O45" s="18"/>
      <c r="P45" s="19">
        <f t="shared" si="1"/>
        <v>0</v>
      </c>
    </row>
    <row r="46" spans="1:17" s="21" customFormat="1" ht="12" x14ac:dyDescent="0.2">
      <c r="A46" s="15"/>
      <c r="B46" s="24"/>
      <c r="C46" s="16"/>
      <c r="D46" s="22" t="s">
        <v>413</v>
      </c>
      <c r="E46" s="12">
        <f>F46+I46</f>
        <v>100000</v>
      </c>
      <c r="F46" s="13">
        <v>100000</v>
      </c>
      <c r="G46" s="13"/>
      <c r="H46" s="13"/>
      <c r="I46" s="18"/>
      <c r="J46" s="12"/>
      <c r="K46" s="13"/>
      <c r="L46" s="13"/>
      <c r="M46" s="13"/>
      <c r="N46" s="13"/>
      <c r="O46" s="18"/>
      <c r="P46" s="19">
        <f t="shared" si="1"/>
        <v>100000</v>
      </c>
    </row>
    <row r="47" spans="1:17" s="21" customFormat="1" ht="24" x14ac:dyDescent="0.2">
      <c r="A47" s="15"/>
      <c r="B47" s="24"/>
      <c r="C47" s="16"/>
      <c r="D47" s="17" t="s">
        <v>450</v>
      </c>
      <c r="E47" s="12">
        <f>F47+I47</f>
        <v>300000</v>
      </c>
      <c r="F47" s="13">
        <v>300000</v>
      </c>
      <c r="G47" s="13"/>
      <c r="H47" s="13"/>
      <c r="I47" s="18"/>
      <c r="J47" s="12"/>
      <c r="K47" s="13"/>
      <c r="L47" s="13"/>
      <c r="M47" s="13"/>
      <c r="N47" s="13"/>
      <c r="O47" s="18"/>
      <c r="P47" s="19">
        <f t="shared" si="1"/>
        <v>300000</v>
      </c>
    </row>
    <row r="48" spans="1:17" s="21" customFormat="1" ht="24" x14ac:dyDescent="0.2">
      <c r="A48" s="15"/>
      <c r="B48" s="24"/>
      <c r="C48" s="16"/>
      <c r="D48" s="23" t="s">
        <v>324</v>
      </c>
      <c r="E48" s="12">
        <f t="shared" ref="E48:E51" si="15">F48+I48</f>
        <v>125000</v>
      </c>
      <c r="F48" s="13">
        <v>125000</v>
      </c>
      <c r="G48" s="13"/>
      <c r="H48" s="13"/>
      <c r="I48" s="18"/>
      <c r="J48" s="12">
        <f t="shared" ref="J48:J50" si="16">L48+O48</f>
        <v>0</v>
      </c>
      <c r="K48" s="13"/>
      <c r="L48" s="13"/>
      <c r="M48" s="13"/>
      <c r="N48" s="13"/>
      <c r="O48" s="18"/>
      <c r="P48" s="19">
        <f t="shared" si="1"/>
        <v>125000</v>
      </c>
    </row>
    <row r="49" spans="1:17" s="21" customFormat="1" ht="36" x14ac:dyDescent="0.2">
      <c r="A49" s="15"/>
      <c r="B49" s="24"/>
      <c r="C49" s="16"/>
      <c r="D49" s="23" t="s">
        <v>321</v>
      </c>
      <c r="E49" s="12">
        <f t="shared" si="15"/>
        <v>75000</v>
      </c>
      <c r="F49" s="13">
        <v>75000</v>
      </c>
      <c r="G49" s="13"/>
      <c r="H49" s="13"/>
      <c r="I49" s="18"/>
      <c r="J49" s="12">
        <f t="shared" si="16"/>
        <v>0</v>
      </c>
      <c r="K49" s="13"/>
      <c r="L49" s="13"/>
      <c r="M49" s="13"/>
      <c r="N49" s="13"/>
      <c r="O49" s="18"/>
      <c r="P49" s="19">
        <f t="shared" si="1"/>
        <v>75000</v>
      </c>
    </row>
    <row r="50" spans="1:17" s="21" customFormat="1" ht="36" x14ac:dyDescent="0.2">
      <c r="A50" s="15"/>
      <c r="B50" s="24"/>
      <c r="C50" s="16"/>
      <c r="D50" s="23" t="s">
        <v>433</v>
      </c>
      <c r="E50" s="12">
        <f t="shared" si="15"/>
        <v>85000</v>
      </c>
      <c r="F50" s="13">
        <v>85000</v>
      </c>
      <c r="G50" s="13"/>
      <c r="H50" s="13"/>
      <c r="I50" s="18"/>
      <c r="J50" s="12">
        <f t="shared" si="16"/>
        <v>0</v>
      </c>
      <c r="K50" s="13"/>
      <c r="L50" s="13"/>
      <c r="M50" s="13"/>
      <c r="N50" s="13"/>
      <c r="O50" s="18"/>
      <c r="P50" s="19">
        <f t="shared" si="1"/>
        <v>85000</v>
      </c>
    </row>
    <row r="51" spans="1:17" s="21" customFormat="1" ht="51" customHeight="1" x14ac:dyDescent="0.2">
      <c r="A51" s="15"/>
      <c r="B51" s="24"/>
      <c r="C51" s="16"/>
      <c r="D51" s="23" t="s">
        <v>582</v>
      </c>
      <c r="E51" s="12">
        <f t="shared" si="15"/>
        <v>540000</v>
      </c>
      <c r="F51" s="13">
        <v>540000</v>
      </c>
      <c r="G51" s="13"/>
      <c r="H51" s="13"/>
      <c r="I51" s="18"/>
      <c r="J51" s="12">
        <f>L51+O51</f>
        <v>9460000</v>
      </c>
      <c r="K51" s="13">
        <v>9460000</v>
      </c>
      <c r="L51" s="13"/>
      <c r="M51" s="13"/>
      <c r="N51" s="13"/>
      <c r="O51" s="18">
        <v>9460000</v>
      </c>
      <c r="P51" s="19">
        <f t="shared" si="1"/>
        <v>10000000</v>
      </c>
    </row>
    <row r="52" spans="1:17" s="21" customFormat="1" ht="24" x14ac:dyDescent="0.2">
      <c r="A52" s="15" t="s">
        <v>160</v>
      </c>
      <c r="B52" s="16" t="s">
        <v>161</v>
      </c>
      <c r="C52" s="16" t="s">
        <v>53</v>
      </c>
      <c r="D52" s="22" t="s">
        <v>244</v>
      </c>
      <c r="E52" s="12">
        <f t="shared" si="3"/>
        <v>0</v>
      </c>
      <c r="F52" s="13">
        <f>F54</f>
        <v>0</v>
      </c>
      <c r="G52" s="13">
        <f>G54</f>
        <v>0</v>
      </c>
      <c r="H52" s="13">
        <f>H54</f>
        <v>0</v>
      </c>
      <c r="I52" s="18"/>
      <c r="J52" s="12">
        <f>SUM(J53:J54)</f>
        <v>1204000</v>
      </c>
      <c r="K52" s="13">
        <f t="shared" ref="K52:O52" si="17">SUM(K53:K54)</f>
        <v>1204000</v>
      </c>
      <c r="L52" s="13">
        <f t="shared" si="17"/>
        <v>0</v>
      </c>
      <c r="M52" s="13">
        <f t="shared" si="17"/>
        <v>0</v>
      </c>
      <c r="N52" s="13">
        <f t="shared" si="17"/>
        <v>0</v>
      </c>
      <c r="O52" s="18">
        <f t="shared" si="17"/>
        <v>1204000</v>
      </c>
      <c r="P52" s="19">
        <f t="shared" si="1"/>
        <v>1204000</v>
      </c>
      <c r="Q52" s="20"/>
    </row>
    <row r="53" spans="1:17" s="21" customFormat="1" ht="12" x14ac:dyDescent="0.2">
      <c r="A53" s="15"/>
      <c r="B53" s="16"/>
      <c r="C53" s="16"/>
      <c r="D53" s="17" t="s">
        <v>163</v>
      </c>
      <c r="E53" s="12"/>
      <c r="F53" s="13"/>
      <c r="G53" s="13"/>
      <c r="H53" s="13"/>
      <c r="I53" s="18"/>
      <c r="J53" s="12"/>
      <c r="K53" s="13"/>
      <c r="L53" s="13"/>
      <c r="M53" s="13"/>
      <c r="N53" s="13"/>
      <c r="O53" s="18"/>
      <c r="P53" s="19">
        <f t="shared" si="1"/>
        <v>0</v>
      </c>
      <c r="Q53" s="25"/>
    </row>
    <row r="54" spans="1:17" s="21" customFormat="1" ht="48" x14ac:dyDescent="0.2">
      <c r="A54" s="15"/>
      <c r="B54" s="16"/>
      <c r="C54" s="16"/>
      <c r="D54" s="22" t="s">
        <v>374</v>
      </c>
      <c r="E54" s="12">
        <f t="shared" si="3"/>
        <v>0</v>
      </c>
      <c r="F54" s="13">
        <f>350000-350000</f>
        <v>0</v>
      </c>
      <c r="G54" s="13"/>
      <c r="H54" s="13"/>
      <c r="I54" s="18"/>
      <c r="J54" s="12">
        <f t="shared" si="4"/>
        <v>1204000</v>
      </c>
      <c r="K54" s="13">
        <f>1204000</f>
        <v>1204000</v>
      </c>
      <c r="L54" s="13"/>
      <c r="M54" s="13"/>
      <c r="N54" s="13"/>
      <c r="O54" s="18">
        <f>1204000</f>
        <v>1204000</v>
      </c>
      <c r="P54" s="19">
        <f t="shared" si="1"/>
        <v>1204000</v>
      </c>
    </row>
    <row r="55" spans="1:17" s="21" customFormat="1" ht="24" x14ac:dyDescent="0.2">
      <c r="A55" s="15" t="s">
        <v>123</v>
      </c>
      <c r="B55" s="16" t="s">
        <v>72</v>
      </c>
      <c r="C55" s="16" t="s">
        <v>53</v>
      </c>
      <c r="D55" s="22" t="s">
        <v>415</v>
      </c>
      <c r="E55" s="12">
        <f t="shared" si="3"/>
        <v>8700000</v>
      </c>
      <c r="F55" s="13">
        <v>8700000</v>
      </c>
      <c r="G55" s="13"/>
      <c r="H55" s="13"/>
      <c r="I55" s="18"/>
      <c r="J55" s="12">
        <f t="shared" si="4"/>
        <v>0</v>
      </c>
      <c r="K55" s="13"/>
      <c r="L55" s="13"/>
      <c r="M55" s="13"/>
      <c r="N55" s="13"/>
      <c r="O55" s="18"/>
      <c r="P55" s="19">
        <f t="shared" si="1"/>
        <v>8700000</v>
      </c>
    </row>
    <row r="56" spans="1:17" s="21" customFormat="1" ht="12" x14ac:dyDescent="0.2">
      <c r="A56" s="15" t="s">
        <v>153</v>
      </c>
      <c r="B56" s="16" t="s">
        <v>154</v>
      </c>
      <c r="C56" s="16" t="s">
        <v>155</v>
      </c>
      <c r="D56" s="22" t="s">
        <v>156</v>
      </c>
      <c r="E56" s="12">
        <f t="shared" si="3"/>
        <v>38000000</v>
      </c>
      <c r="F56" s="13">
        <f>F58+F59</f>
        <v>38000000</v>
      </c>
      <c r="G56" s="13">
        <f>G58+G59</f>
        <v>0</v>
      </c>
      <c r="H56" s="13">
        <f>H58+H59</f>
        <v>0</v>
      </c>
      <c r="I56" s="18"/>
      <c r="J56" s="12">
        <f t="shared" si="4"/>
        <v>0</v>
      </c>
      <c r="K56" s="13"/>
      <c r="L56" s="13"/>
      <c r="M56" s="13"/>
      <c r="N56" s="13"/>
      <c r="O56" s="18"/>
      <c r="P56" s="19">
        <f t="shared" si="1"/>
        <v>38000000</v>
      </c>
    </row>
    <row r="57" spans="1:17" s="21" customFormat="1" ht="12" x14ac:dyDescent="0.2">
      <c r="A57" s="15"/>
      <c r="B57" s="16"/>
      <c r="C57" s="16"/>
      <c r="D57" s="17" t="s">
        <v>163</v>
      </c>
      <c r="E57" s="12"/>
      <c r="F57" s="13"/>
      <c r="G57" s="13"/>
      <c r="H57" s="13"/>
      <c r="I57" s="18"/>
      <c r="J57" s="12"/>
      <c r="K57" s="13"/>
      <c r="L57" s="13"/>
      <c r="M57" s="13"/>
      <c r="N57" s="13"/>
      <c r="O57" s="18"/>
      <c r="P57" s="19">
        <f t="shared" si="1"/>
        <v>0</v>
      </c>
    </row>
    <row r="58" spans="1:17" s="21" customFormat="1" ht="12" x14ac:dyDescent="0.2">
      <c r="A58" s="15"/>
      <c r="B58" s="16"/>
      <c r="C58" s="16"/>
      <c r="D58" s="22" t="s">
        <v>375</v>
      </c>
      <c r="E58" s="12">
        <f>F58+I58</f>
        <v>37500000</v>
      </c>
      <c r="F58" s="13">
        <v>37500000</v>
      </c>
      <c r="G58" s="13"/>
      <c r="H58" s="13"/>
      <c r="I58" s="18"/>
      <c r="J58" s="12">
        <f t="shared" si="4"/>
        <v>0</v>
      </c>
      <c r="K58" s="13"/>
      <c r="L58" s="13"/>
      <c r="M58" s="13"/>
      <c r="N58" s="13"/>
      <c r="O58" s="18"/>
      <c r="P58" s="19">
        <f t="shared" si="1"/>
        <v>37500000</v>
      </c>
    </row>
    <row r="59" spans="1:17" s="21" customFormat="1" ht="24" x14ac:dyDescent="0.2">
      <c r="A59" s="15"/>
      <c r="B59" s="16"/>
      <c r="C59" s="16"/>
      <c r="D59" s="22" t="s">
        <v>157</v>
      </c>
      <c r="E59" s="12">
        <f t="shared" si="3"/>
        <v>500000</v>
      </c>
      <c r="F59" s="13">
        <v>500000</v>
      </c>
      <c r="G59" s="13"/>
      <c r="H59" s="13"/>
      <c r="I59" s="18"/>
      <c r="J59" s="12">
        <f t="shared" si="4"/>
        <v>0</v>
      </c>
      <c r="K59" s="13"/>
      <c r="L59" s="13"/>
      <c r="M59" s="13"/>
      <c r="N59" s="13"/>
      <c r="O59" s="18"/>
      <c r="P59" s="19">
        <f t="shared" si="1"/>
        <v>500000</v>
      </c>
    </row>
    <row r="60" spans="1:17" s="21" customFormat="1" ht="12" x14ac:dyDescent="0.2">
      <c r="A60" s="15" t="s">
        <v>429</v>
      </c>
      <c r="B60" s="16" t="s">
        <v>430</v>
      </c>
      <c r="C60" s="16" t="s">
        <v>155</v>
      </c>
      <c r="D60" s="22" t="s">
        <v>428</v>
      </c>
      <c r="E60" s="12">
        <f t="shared" si="3"/>
        <v>5000400</v>
      </c>
      <c r="F60" s="13">
        <f>F61</f>
        <v>5000400</v>
      </c>
      <c r="G60" s="13"/>
      <c r="H60" s="13"/>
      <c r="I60" s="18"/>
      <c r="J60" s="12"/>
      <c r="K60" s="13"/>
      <c r="L60" s="13"/>
      <c r="M60" s="13"/>
      <c r="N60" s="13"/>
      <c r="O60" s="18"/>
      <c r="P60" s="19">
        <f t="shared" si="1"/>
        <v>5000400</v>
      </c>
    </row>
    <row r="61" spans="1:17" s="21" customFormat="1" ht="24" x14ac:dyDescent="0.2">
      <c r="A61" s="15"/>
      <c r="B61" s="16"/>
      <c r="C61" s="16"/>
      <c r="D61" s="26" t="s">
        <v>431</v>
      </c>
      <c r="E61" s="12">
        <f t="shared" si="3"/>
        <v>5000400</v>
      </c>
      <c r="F61" s="13">
        <f>7000000-1000000-2000000-1623600-1376000-500000-500000+5000000</f>
        <v>5000400</v>
      </c>
      <c r="G61" s="13"/>
      <c r="H61" s="13"/>
      <c r="I61" s="18"/>
      <c r="J61" s="12"/>
      <c r="K61" s="13"/>
      <c r="L61" s="13"/>
      <c r="M61" s="13"/>
      <c r="N61" s="13"/>
      <c r="O61" s="18"/>
      <c r="P61" s="19">
        <f t="shared" si="1"/>
        <v>5000400</v>
      </c>
    </row>
    <row r="62" spans="1:17" s="21" customFormat="1" ht="12" x14ac:dyDescent="0.2">
      <c r="A62" s="15" t="s">
        <v>158</v>
      </c>
      <c r="B62" s="16" t="s">
        <v>159</v>
      </c>
      <c r="C62" s="16" t="s">
        <v>155</v>
      </c>
      <c r="D62" s="22" t="s">
        <v>167</v>
      </c>
      <c r="E62" s="12">
        <f t="shared" si="3"/>
        <v>2000000</v>
      </c>
      <c r="F62" s="13">
        <f>F64</f>
        <v>2000000</v>
      </c>
      <c r="G62" s="13">
        <f>G64</f>
        <v>0</v>
      </c>
      <c r="H62" s="13">
        <f>H64</f>
        <v>0</v>
      </c>
      <c r="I62" s="18"/>
      <c r="J62" s="12">
        <f t="shared" si="4"/>
        <v>0</v>
      </c>
      <c r="K62" s="13"/>
      <c r="L62" s="13"/>
      <c r="M62" s="13"/>
      <c r="N62" s="13"/>
      <c r="O62" s="18"/>
      <c r="P62" s="19">
        <f t="shared" si="1"/>
        <v>2000000</v>
      </c>
    </row>
    <row r="63" spans="1:17" s="21" customFormat="1" ht="12" x14ac:dyDescent="0.2">
      <c r="A63" s="15"/>
      <c r="B63" s="16"/>
      <c r="C63" s="16"/>
      <c r="D63" s="17" t="s">
        <v>163</v>
      </c>
      <c r="E63" s="12"/>
      <c r="F63" s="13"/>
      <c r="G63" s="13"/>
      <c r="H63" s="13"/>
      <c r="I63" s="18"/>
      <c r="J63" s="12"/>
      <c r="K63" s="13"/>
      <c r="L63" s="13"/>
      <c r="M63" s="13"/>
      <c r="N63" s="13"/>
      <c r="O63" s="18"/>
      <c r="P63" s="19">
        <f t="shared" si="1"/>
        <v>0</v>
      </c>
    </row>
    <row r="64" spans="1:17" s="21" customFormat="1" ht="74.25" customHeight="1" x14ac:dyDescent="0.2">
      <c r="A64" s="15"/>
      <c r="B64" s="16"/>
      <c r="C64" s="16"/>
      <c r="D64" s="17" t="s">
        <v>446</v>
      </c>
      <c r="E64" s="12">
        <f t="shared" si="3"/>
        <v>2000000</v>
      </c>
      <c r="F64" s="13">
        <v>2000000</v>
      </c>
      <c r="G64" s="13"/>
      <c r="H64" s="13"/>
      <c r="I64" s="18"/>
      <c r="J64" s="12">
        <f t="shared" si="4"/>
        <v>0</v>
      </c>
      <c r="K64" s="13"/>
      <c r="L64" s="13"/>
      <c r="M64" s="13"/>
      <c r="N64" s="13"/>
      <c r="O64" s="18"/>
      <c r="P64" s="19">
        <f t="shared" si="1"/>
        <v>2000000</v>
      </c>
    </row>
    <row r="65" spans="1:18" s="21" customFormat="1" ht="12" x14ac:dyDescent="0.2">
      <c r="A65" s="15" t="s">
        <v>410</v>
      </c>
      <c r="B65" s="16" t="s">
        <v>412</v>
      </c>
      <c r="C65" s="16" t="s">
        <v>155</v>
      </c>
      <c r="D65" s="22" t="s">
        <v>411</v>
      </c>
      <c r="E65" s="12">
        <f>F65+I65</f>
        <v>130964050</v>
      </c>
      <c r="F65" s="13">
        <f>SUM(F66:F70)</f>
        <v>130964050</v>
      </c>
      <c r="G65" s="13">
        <f t="shared" ref="G65:I65" si="18">G67</f>
        <v>0</v>
      </c>
      <c r="H65" s="13">
        <f t="shared" si="18"/>
        <v>0</v>
      </c>
      <c r="I65" s="18">
        <f t="shared" si="18"/>
        <v>0</v>
      </c>
      <c r="J65" s="12">
        <f>L65+O65</f>
        <v>28719919</v>
      </c>
      <c r="K65" s="13">
        <f>SUM(K66:K70)</f>
        <v>28719919</v>
      </c>
      <c r="L65" s="13">
        <f t="shared" ref="L65:O65" si="19">SUM(L66:L70)</f>
        <v>0</v>
      </c>
      <c r="M65" s="13">
        <f t="shared" si="19"/>
        <v>0</v>
      </c>
      <c r="N65" s="13">
        <f t="shared" si="19"/>
        <v>0</v>
      </c>
      <c r="O65" s="18">
        <f t="shared" si="19"/>
        <v>28719919</v>
      </c>
      <c r="P65" s="19">
        <f t="shared" si="1"/>
        <v>159683969</v>
      </c>
    </row>
    <row r="66" spans="1:18" s="21" customFormat="1" ht="12" x14ac:dyDescent="0.2">
      <c r="A66" s="15"/>
      <c r="B66" s="16"/>
      <c r="C66" s="16"/>
      <c r="D66" s="17" t="s">
        <v>163</v>
      </c>
      <c r="E66" s="12">
        <f t="shared" si="3"/>
        <v>0</v>
      </c>
      <c r="F66" s="13"/>
      <c r="G66" s="13"/>
      <c r="H66" s="13"/>
      <c r="I66" s="18"/>
      <c r="J66" s="12">
        <f t="shared" si="4"/>
        <v>0</v>
      </c>
      <c r="K66" s="13"/>
      <c r="L66" s="13"/>
      <c r="M66" s="13"/>
      <c r="N66" s="13"/>
      <c r="O66" s="18"/>
      <c r="P66" s="14">
        <f t="shared" si="1"/>
        <v>0</v>
      </c>
    </row>
    <row r="67" spans="1:18" s="21" customFormat="1" ht="72.75" customHeight="1" x14ac:dyDescent="0.2">
      <c r="A67" s="15"/>
      <c r="B67" s="16"/>
      <c r="C67" s="16"/>
      <c r="D67" s="17" t="s">
        <v>446</v>
      </c>
      <c r="E67" s="12">
        <f t="shared" si="3"/>
        <v>114984500</v>
      </c>
      <c r="F67" s="13">
        <f>148000000-2000000-15500-15000000-400000-2000000-2000000-4000000-2000000-600000-5000000</f>
        <v>114984500</v>
      </c>
      <c r="G67" s="13"/>
      <c r="H67" s="13"/>
      <c r="I67" s="18"/>
      <c r="J67" s="12">
        <f t="shared" si="4"/>
        <v>19813271</v>
      </c>
      <c r="K67" s="13">
        <f>2015500+15000000+2797771</f>
        <v>19813271</v>
      </c>
      <c r="L67" s="13"/>
      <c r="M67" s="13"/>
      <c r="N67" s="13"/>
      <c r="O67" s="18">
        <f>2015500+15000000+2797771</f>
        <v>19813271</v>
      </c>
      <c r="P67" s="19">
        <f t="shared" si="1"/>
        <v>134797771</v>
      </c>
    </row>
    <row r="68" spans="1:18" s="21" customFormat="1" ht="24" x14ac:dyDescent="0.2">
      <c r="A68" s="15"/>
      <c r="B68" s="16"/>
      <c r="C68" s="16"/>
      <c r="D68" s="27" t="s">
        <v>486</v>
      </c>
      <c r="E68" s="12">
        <f t="shared" si="3"/>
        <v>1000000</v>
      </c>
      <c r="F68" s="13">
        <v>1000000</v>
      </c>
      <c r="G68" s="13"/>
      <c r="H68" s="13"/>
      <c r="I68" s="18"/>
      <c r="J68" s="12">
        <f t="shared" si="4"/>
        <v>0</v>
      </c>
      <c r="K68" s="13"/>
      <c r="L68" s="13"/>
      <c r="M68" s="13"/>
      <c r="N68" s="13"/>
      <c r="O68" s="18"/>
      <c r="P68" s="19">
        <f t="shared" si="1"/>
        <v>1000000</v>
      </c>
    </row>
    <row r="69" spans="1:18" s="21" customFormat="1" ht="36" x14ac:dyDescent="0.2">
      <c r="A69" s="15"/>
      <c r="B69" s="16"/>
      <c r="C69" s="16"/>
      <c r="D69" s="17" t="s">
        <v>466</v>
      </c>
      <c r="E69" s="12">
        <f t="shared" si="3"/>
        <v>11059550</v>
      </c>
      <c r="F69" s="13">
        <v>11059550</v>
      </c>
      <c r="G69" s="13"/>
      <c r="H69" s="13"/>
      <c r="I69" s="18"/>
      <c r="J69" s="12">
        <f t="shared" si="4"/>
        <v>8642648</v>
      </c>
      <c r="K69" s="13">
        <v>8642648</v>
      </c>
      <c r="L69" s="13"/>
      <c r="M69" s="13"/>
      <c r="N69" s="13"/>
      <c r="O69" s="18">
        <v>8642648</v>
      </c>
      <c r="P69" s="19">
        <f>E69+J69</f>
        <v>19702198</v>
      </c>
    </row>
    <row r="70" spans="1:18" s="21" customFormat="1" ht="24" x14ac:dyDescent="0.2">
      <c r="A70" s="15"/>
      <c r="B70" s="16"/>
      <c r="C70" s="16"/>
      <c r="D70" s="27" t="s">
        <v>552</v>
      </c>
      <c r="E70" s="12">
        <f t="shared" si="3"/>
        <v>3920000</v>
      </c>
      <c r="F70" s="13">
        <f>2588000+1332000</f>
        <v>3920000</v>
      </c>
      <c r="G70" s="13"/>
      <c r="H70" s="13"/>
      <c r="I70" s="18"/>
      <c r="J70" s="12">
        <f t="shared" si="4"/>
        <v>264000</v>
      </c>
      <c r="K70" s="13">
        <f>264000</f>
        <v>264000</v>
      </c>
      <c r="L70" s="13"/>
      <c r="M70" s="13"/>
      <c r="N70" s="13"/>
      <c r="O70" s="18">
        <f>264000</f>
        <v>264000</v>
      </c>
      <c r="P70" s="19">
        <f t="shared" si="1"/>
        <v>4184000</v>
      </c>
    </row>
    <row r="71" spans="1:18" s="21" customFormat="1" ht="36" x14ac:dyDescent="0.2">
      <c r="A71" s="15" t="s">
        <v>555</v>
      </c>
      <c r="B71" s="16" t="s">
        <v>556</v>
      </c>
      <c r="C71" s="16" t="s">
        <v>475</v>
      </c>
      <c r="D71" s="27" t="s">
        <v>557</v>
      </c>
      <c r="E71" s="12">
        <f t="shared" si="3"/>
        <v>400000</v>
      </c>
      <c r="F71" s="13">
        <f>400000</f>
        <v>400000</v>
      </c>
      <c r="G71" s="13"/>
      <c r="H71" s="13"/>
      <c r="I71" s="18"/>
      <c r="J71" s="12"/>
      <c r="K71" s="13"/>
      <c r="L71" s="13"/>
      <c r="M71" s="13"/>
      <c r="N71" s="13"/>
      <c r="O71" s="18"/>
      <c r="P71" s="19">
        <f t="shared" si="1"/>
        <v>400000</v>
      </c>
    </row>
    <row r="72" spans="1:18" s="21" customFormat="1" ht="24" x14ac:dyDescent="0.2">
      <c r="A72" s="15" t="s">
        <v>576</v>
      </c>
      <c r="B72" s="16" t="s">
        <v>577</v>
      </c>
      <c r="C72" s="16" t="s">
        <v>475</v>
      </c>
      <c r="D72" s="27" t="s">
        <v>578</v>
      </c>
      <c r="E72" s="12">
        <f t="shared" si="3"/>
        <v>213000</v>
      </c>
      <c r="F72" s="13">
        <f>180000+33000</f>
        <v>213000</v>
      </c>
      <c r="G72" s="13"/>
      <c r="H72" s="13"/>
      <c r="I72" s="18"/>
      <c r="J72" s="12"/>
      <c r="K72" s="13"/>
      <c r="L72" s="13"/>
      <c r="M72" s="13"/>
      <c r="N72" s="13"/>
      <c r="O72" s="18"/>
      <c r="P72" s="19">
        <f t="shared" si="1"/>
        <v>213000</v>
      </c>
    </row>
    <row r="73" spans="1:18" s="6" customFormat="1" ht="25.5" x14ac:dyDescent="0.2">
      <c r="A73" s="28" t="s">
        <v>97</v>
      </c>
      <c r="B73" s="7"/>
      <c r="C73" s="7"/>
      <c r="D73" s="8" t="s">
        <v>282</v>
      </c>
      <c r="E73" s="9">
        <f>E75+E79+E82+E94+E97+E98+E102+E103+E119+E120+E121+E104+E109+E112+E76+E101+E115+E117+E118</f>
        <v>1860294776</v>
      </c>
      <c r="F73" s="10">
        <f>F75+F79+F82+F94+F97+F98+F102+F103+F119+F120+F121+F104+F109+F112+F76+F101+F115+F117+F118</f>
        <v>1860294776</v>
      </c>
      <c r="G73" s="10">
        <f>G75+G79+G82+G94+G97+G98+G102+G103+G119+G120+G121+G104+G109+G112+G76+G101+G115+G117+G118</f>
        <v>1092776202</v>
      </c>
      <c r="H73" s="10">
        <f>H75+H79+H82+H94+H97+H98+H102+H103+H119+H120+H121+H104+H109+H112+H76+H101+H115+H117+H118</f>
        <v>246561863</v>
      </c>
      <c r="I73" s="11">
        <f>I75+I79+I82+I94+I97+I98+I102+I103+I119+I120+I121+I104+I109+I112+I76+I101+I115+I117+I118</f>
        <v>0</v>
      </c>
      <c r="J73" s="9">
        <f>J75+J79+J82+J94+J97+J98+J102+J103+J119+J120+J121+J104+J109+J112+J76+J101+J115+J117+J118+J114+J116+J113</f>
        <v>135733951</v>
      </c>
      <c r="K73" s="10">
        <f>K75+K79+K82+K94+K97+K98+K102+K103+K119+K120+K121+K104+K109+K112+K76+K101+K115+K117+K118+K114+K116+K113</f>
        <v>34675951</v>
      </c>
      <c r="L73" s="10">
        <f t="shared" ref="L73:N73" si="20">L75+L79+L82+L94+L97+L98+L102+L103+L119+L120+L121+L104+L109+L112+L76+L101+L115+L117+L118+L114+L116+L113</f>
        <v>101013000</v>
      </c>
      <c r="M73" s="10">
        <f t="shared" si="20"/>
        <v>6085900</v>
      </c>
      <c r="N73" s="10">
        <f t="shared" si="20"/>
        <v>5448500</v>
      </c>
      <c r="O73" s="11">
        <f>O75+O79+O82+O94+O97+O98+O102+O103+O119+O120+O121+O104+O109+O112+O76+O101+O115+O117+O118+O114+O116+O113</f>
        <v>34720951</v>
      </c>
      <c r="P73" s="14">
        <f>E73+J73</f>
        <v>1996028727</v>
      </c>
      <c r="Q73" s="29"/>
    </row>
    <row r="74" spans="1:18" s="6" customFormat="1" ht="25.5" x14ac:dyDescent="0.2">
      <c r="A74" s="28" t="s">
        <v>124</v>
      </c>
      <c r="B74" s="7"/>
      <c r="C74" s="7"/>
      <c r="D74" s="8" t="s">
        <v>282</v>
      </c>
      <c r="E74" s="9"/>
      <c r="F74" s="10"/>
      <c r="G74" s="10"/>
      <c r="H74" s="10"/>
      <c r="I74" s="11"/>
      <c r="J74" s="12"/>
      <c r="K74" s="13"/>
      <c r="L74" s="10"/>
      <c r="M74" s="10"/>
      <c r="N74" s="10"/>
      <c r="O74" s="11"/>
      <c r="P74" s="14">
        <f t="shared" si="1"/>
        <v>0</v>
      </c>
      <c r="Q74" s="29"/>
    </row>
    <row r="75" spans="1:18" s="21" customFormat="1" ht="24" x14ac:dyDescent="0.2">
      <c r="A75" s="15" t="s">
        <v>125</v>
      </c>
      <c r="B75" s="16" t="s">
        <v>56</v>
      </c>
      <c r="C75" s="16" t="s">
        <v>20</v>
      </c>
      <c r="D75" s="17" t="s">
        <v>397</v>
      </c>
      <c r="E75" s="12">
        <f>F75+I75</f>
        <v>7900000</v>
      </c>
      <c r="F75" s="13">
        <v>7900000</v>
      </c>
      <c r="G75" s="13">
        <v>6400000</v>
      </c>
      <c r="H75" s="13"/>
      <c r="I75" s="18"/>
      <c r="J75" s="12">
        <f>L75+O75</f>
        <v>0</v>
      </c>
      <c r="K75" s="13"/>
      <c r="L75" s="13"/>
      <c r="M75" s="13"/>
      <c r="N75" s="13"/>
      <c r="O75" s="18"/>
      <c r="P75" s="19">
        <f t="shared" si="1"/>
        <v>7900000</v>
      </c>
      <c r="Q75" s="20"/>
    </row>
    <row r="76" spans="1:18" s="21" customFormat="1" ht="12" x14ac:dyDescent="0.2">
      <c r="A76" s="15" t="s">
        <v>370</v>
      </c>
      <c r="B76" s="16" t="s">
        <v>13</v>
      </c>
      <c r="C76" s="16" t="s">
        <v>14</v>
      </c>
      <c r="D76" s="17" t="s">
        <v>150</v>
      </c>
      <c r="E76" s="12">
        <f t="shared" ref="E76:E81" si="21">F76+I76</f>
        <v>325000</v>
      </c>
      <c r="F76" s="13">
        <f>F78</f>
        <v>325000</v>
      </c>
      <c r="G76" s="13"/>
      <c r="H76" s="13"/>
      <c r="I76" s="18"/>
      <c r="J76" s="12"/>
      <c r="K76" s="13"/>
      <c r="L76" s="13"/>
      <c r="M76" s="13"/>
      <c r="N76" s="13"/>
      <c r="O76" s="18"/>
      <c r="P76" s="19">
        <f t="shared" si="1"/>
        <v>325000</v>
      </c>
      <c r="Q76" s="20"/>
    </row>
    <row r="77" spans="1:18" s="21" customFormat="1" ht="12" x14ac:dyDescent="0.2">
      <c r="A77" s="15"/>
      <c r="B77" s="16"/>
      <c r="C77" s="16"/>
      <c r="D77" s="17" t="s">
        <v>163</v>
      </c>
      <c r="E77" s="12"/>
      <c r="F77" s="13"/>
      <c r="G77" s="13"/>
      <c r="H77" s="13"/>
      <c r="I77" s="18"/>
      <c r="J77" s="12"/>
      <c r="K77" s="13"/>
      <c r="L77" s="13"/>
      <c r="M77" s="13"/>
      <c r="N77" s="13"/>
      <c r="O77" s="18"/>
      <c r="P77" s="19">
        <f t="shared" si="1"/>
        <v>0</v>
      </c>
      <c r="Q77" s="20"/>
    </row>
    <row r="78" spans="1:18" s="21" customFormat="1" ht="48" x14ac:dyDescent="0.2">
      <c r="A78" s="15"/>
      <c r="B78" s="16"/>
      <c r="C78" s="16"/>
      <c r="D78" s="17" t="s">
        <v>371</v>
      </c>
      <c r="E78" s="12">
        <f t="shared" si="21"/>
        <v>325000</v>
      </c>
      <c r="F78" s="13">
        <f>500000-175000</f>
        <v>325000</v>
      </c>
      <c r="G78" s="13"/>
      <c r="H78" s="13"/>
      <c r="I78" s="18"/>
      <c r="J78" s="12"/>
      <c r="K78" s="13"/>
      <c r="L78" s="13"/>
      <c r="M78" s="13"/>
      <c r="N78" s="13"/>
      <c r="O78" s="18"/>
      <c r="P78" s="19">
        <f t="shared" si="1"/>
        <v>325000</v>
      </c>
      <c r="Q78" s="20"/>
    </row>
    <row r="79" spans="1:18" s="21" customFormat="1" ht="12" x14ac:dyDescent="0.2">
      <c r="A79" s="15" t="s">
        <v>126</v>
      </c>
      <c r="B79" s="16">
        <v>1010</v>
      </c>
      <c r="C79" s="16" t="s">
        <v>27</v>
      </c>
      <c r="D79" s="17" t="s">
        <v>74</v>
      </c>
      <c r="E79" s="12">
        <f t="shared" si="21"/>
        <v>499176288</v>
      </c>
      <c r="F79" s="13">
        <f>498477388+298000+900+400000</f>
        <v>499176288</v>
      </c>
      <c r="G79" s="13">
        <v>313804661</v>
      </c>
      <c r="H79" s="13">
        <v>73387000</v>
      </c>
      <c r="I79" s="18"/>
      <c r="J79" s="12">
        <f>L79+O79</f>
        <v>43175886</v>
      </c>
      <c r="K79" s="13">
        <f>6061386</f>
        <v>6061386</v>
      </c>
      <c r="L79" s="13">
        <v>37114500</v>
      </c>
      <c r="M79" s="13">
        <v>135100</v>
      </c>
      <c r="N79" s="13">
        <v>0</v>
      </c>
      <c r="O79" s="18">
        <f>6061386</f>
        <v>6061386</v>
      </c>
      <c r="P79" s="19">
        <f t="shared" si="1"/>
        <v>542352174</v>
      </c>
      <c r="Q79" s="30"/>
      <c r="R79" s="30"/>
    </row>
    <row r="80" spans="1:18" s="21" customFormat="1" ht="12" x14ac:dyDescent="0.2">
      <c r="A80" s="15"/>
      <c r="B80" s="16"/>
      <c r="C80" s="16"/>
      <c r="D80" s="17" t="s">
        <v>314</v>
      </c>
      <c r="E80" s="12"/>
      <c r="F80" s="13"/>
      <c r="G80" s="13"/>
      <c r="H80" s="13"/>
      <c r="I80" s="18"/>
      <c r="J80" s="12"/>
      <c r="K80" s="13"/>
      <c r="L80" s="13"/>
      <c r="M80" s="13"/>
      <c r="N80" s="13"/>
      <c r="O80" s="18"/>
      <c r="P80" s="19">
        <f t="shared" si="1"/>
        <v>0</v>
      </c>
      <c r="Q80" s="30"/>
      <c r="R80" s="30"/>
    </row>
    <row r="81" spans="1:19" s="21" customFormat="1" ht="39.75" customHeight="1" x14ac:dyDescent="0.2">
      <c r="A81" s="15"/>
      <c r="B81" s="16"/>
      <c r="C81" s="16"/>
      <c r="D81" s="31" t="s">
        <v>541</v>
      </c>
      <c r="E81" s="12">
        <f t="shared" si="21"/>
        <v>80000</v>
      </c>
      <c r="F81" s="13">
        <v>80000</v>
      </c>
      <c r="G81" s="13"/>
      <c r="H81" s="13"/>
      <c r="I81" s="18"/>
      <c r="J81" s="12"/>
      <c r="K81" s="13"/>
      <c r="L81" s="13"/>
      <c r="M81" s="13"/>
      <c r="N81" s="13"/>
      <c r="O81" s="18"/>
      <c r="P81" s="19">
        <f t="shared" si="1"/>
        <v>80000</v>
      </c>
      <c r="Q81" s="30"/>
      <c r="R81" s="30"/>
    </row>
    <row r="82" spans="1:19" s="21" customFormat="1" ht="24" x14ac:dyDescent="0.2">
      <c r="A82" s="15" t="s">
        <v>127</v>
      </c>
      <c r="B82" s="16">
        <v>1020</v>
      </c>
      <c r="C82" s="16"/>
      <c r="D82" s="17" t="s">
        <v>369</v>
      </c>
      <c r="E82" s="12">
        <f t="shared" ref="E82:E96" si="22">F82+I82</f>
        <v>469784345</v>
      </c>
      <c r="F82" s="13">
        <f>F83+F93</f>
        <v>469784345</v>
      </c>
      <c r="G82" s="13">
        <f>G83+G93</f>
        <v>159848991</v>
      </c>
      <c r="H82" s="13">
        <f>H83+H93</f>
        <v>119538928</v>
      </c>
      <c r="I82" s="18">
        <f>I83+I93</f>
        <v>0</v>
      </c>
      <c r="J82" s="12">
        <f>L82+O82</f>
        <v>11587203</v>
      </c>
      <c r="K82" s="13">
        <f>K83+K93</f>
        <v>11518703</v>
      </c>
      <c r="L82" s="13">
        <f>L83+L93</f>
        <v>68500</v>
      </c>
      <c r="M82" s="13">
        <f>M83+M93</f>
        <v>49300</v>
      </c>
      <c r="N82" s="13">
        <f>N83+N93</f>
        <v>0</v>
      </c>
      <c r="O82" s="18">
        <f>O83+O93</f>
        <v>11518703</v>
      </c>
      <c r="P82" s="19">
        <f t="shared" si="1"/>
        <v>481371548</v>
      </c>
      <c r="Q82" s="32"/>
      <c r="R82" s="32"/>
    </row>
    <row r="83" spans="1:19" s="21" customFormat="1" ht="24" x14ac:dyDescent="0.2">
      <c r="A83" s="15" t="s">
        <v>331</v>
      </c>
      <c r="B83" s="16">
        <v>1021</v>
      </c>
      <c r="C83" s="16" t="s">
        <v>28</v>
      </c>
      <c r="D83" s="17" t="s">
        <v>439</v>
      </c>
      <c r="E83" s="12">
        <f>F83+I83</f>
        <v>449374345</v>
      </c>
      <c r="F83" s="13">
        <f>448743021+293785+23463+223576+90500</f>
        <v>449374345</v>
      </c>
      <c r="G83" s="13">
        <f>179100000-42932409+14381400</f>
        <v>150548991</v>
      </c>
      <c r="H83" s="13">
        <f>116070828+218100</f>
        <v>116288928</v>
      </c>
      <c r="I83" s="18"/>
      <c r="J83" s="12">
        <f t="shared" ref="J83:J121" si="23">L83+O83</f>
        <v>10957204</v>
      </c>
      <c r="K83" s="13">
        <f>9685174+80000+184400+1162706-223576</f>
        <v>10888704</v>
      </c>
      <c r="L83" s="13">
        <v>68500</v>
      </c>
      <c r="M83" s="13">
        <v>49300</v>
      </c>
      <c r="N83" s="13"/>
      <c r="O83" s="18">
        <f>9685174+80000+184400+1162706-223576</f>
        <v>10888704</v>
      </c>
      <c r="P83" s="19">
        <f t="shared" si="1"/>
        <v>460331549</v>
      </c>
      <c r="Q83" s="30"/>
      <c r="R83" s="33"/>
    </row>
    <row r="84" spans="1:19" s="21" customFormat="1" ht="12" x14ac:dyDescent="0.2">
      <c r="A84" s="15"/>
      <c r="B84" s="16"/>
      <c r="C84" s="16"/>
      <c r="D84" s="17" t="s">
        <v>314</v>
      </c>
      <c r="E84" s="12"/>
      <c r="F84" s="13"/>
      <c r="G84" s="13"/>
      <c r="H84" s="13"/>
      <c r="I84" s="18"/>
      <c r="J84" s="12"/>
      <c r="K84" s="13"/>
      <c r="L84" s="13"/>
      <c r="M84" s="13"/>
      <c r="N84" s="13"/>
      <c r="O84" s="18"/>
      <c r="P84" s="19"/>
      <c r="Q84" s="30"/>
      <c r="R84" s="33"/>
    </row>
    <row r="85" spans="1:19" s="21" customFormat="1" ht="36" x14ac:dyDescent="0.2">
      <c r="A85" s="15"/>
      <c r="B85" s="16"/>
      <c r="C85" s="16"/>
      <c r="D85" s="31" t="s">
        <v>536</v>
      </c>
      <c r="E85" s="12">
        <f t="shared" si="22"/>
        <v>100000</v>
      </c>
      <c r="F85" s="13">
        <v>100000</v>
      </c>
      <c r="G85" s="13"/>
      <c r="H85" s="13"/>
      <c r="I85" s="18"/>
      <c r="J85" s="12">
        <f t="shared" si="23"/>
        <v>0</v>
      </c>
      <c r="K85" s="13"/>
      <c r="L85" s="13"/>
      <c r="M85" s="13"/>
      <c r="N85" s="13"/>
      <c r="O85" s="18"/>
      <c r="P85" s="19">
        <f t="shared" si="1"/>
        <v>100000</v>
      </c>
      <c r="Q85" s="30"/>
      <c r="R85" s="33"/>
    </row>
    <row r="86" spans="1:19" s="21" customFormat="1" ht="24" x14ac:dyDescent="0.2">
      <c r="A86" s="15"/>
      <c r="B86" s="16"/>
      <c r="C86" s="16"/>
      <c r="D86" s="31" t="s">
        <v>537</v>
      </c>
      <c r="E86" s="12">
        <f t="shared" si="22"/>
        <v>70000</v>
      </c>
      <c r="F86" s="13">
        <v>70000</v>
      </c>
      <c r="G86" s="13"/>
      <c r="H86" s="13"/>
      <c r="I86" s="18"/>
      <c r="J86" s="12">
        <f t="shared" si="23"/>
        <v>0</v>
      </c>
      <c r="K86" s="13"/>
      <c r="L86" s="13"/>
      <c r="M86" s="13"/>
      <c r="N86" s="13"/>
      <c r="O86" s="18"/>
      <c r="P86" s="19">
        <f t="shared" si="1"/>
        <v>70000</v>
      </c>
      <c r="Q86" s="30"/>
      <c r="R86" s="33"/>
    </row>
    <row r="87" spans="1:19" s="21" customFormat="1" ht="24" x14ac:dyDescent="0.2">
      <c r="A87" s="15"/>
      <c r="B87" s="16"/>
      <c r="C87" s="16"/>
      <c r="D87" s="31" t="s">
        <v>538</v>
      </c>
      <c r="E87" s="12">
        <f t="shared" si="22"/>
        <v>40000</v>
      </c>
      <c r="F87" s="13">
        <v>40000</v>
      </c>
      <c r="G87" s="13"/>
      <c r="H87" s="13"/>
      <c r="I87" s="18"/>
      <c r="J87" s="12">
        <f t="shared" si="23"/>
        <v>0</v>
      </c>
      <c r="K87" s="13"/>
      <c r="L87" s="13"/>
      <c r="M87" s="13"/>
      <c r="N87" s="13"/>
      <c r="O87" s="18"/>
      <c r="P87" s="19">
        <f t="shared" si="1"/>
        <v>40000</v>
      </c>
      <c r="Q87" s="30"/>
      <c r="R87" s="33"/>
    </row>
    <row r="88" spans="1:19" s="21" customFormat="1" ht="24" x14ac:dyDescent="0.2">
      <c r="A88" s="15"/>
      <c r="B88" s="16"/>
      <c r="C88" s="16"/>
      <c r="D88" s="31" t="s">
        <v>539</v>
      </c>
      <c r="E88" s="12">
        <f t="shared" si="22"/>
        <v>60000</v>
      </c>
      <c r="F88" s="13">
        <v>60000</v>
      </c>
      <c r="G88" s="13" t="s">
        <v>512</v>
      </c>
      <c r="H88" s="13"/>
      <c r="I88" s="18"/>
      <c r="J88" s="12">
        <f t="shared" si="23"/>
        <v>0</v>
      </c>
      <c r="K88" s="13"/>
      <c r="L88" s="13"/>
      <c r="M88" s="13"/>
      <c r="N88" s="13"/>
      <c r="O88" s="18"/>
      <c r="P88" s="19">
        <f t="shared" si="1"/>
        <v>60000</v>
      </c>
      <c r="Q88" s="30"/>
      <c r="R88" s="33"/>
    </row>
    <row r="89" spans="1:19" s="21" customFormat="1" ht="36" x14ac:dyDescent="0.2">
      <c r="A89" s="15"/>
      <c r="B89" s="16"/>
      <c r="C89" s="16"/>
      <c r="D89" s="31" t="s">
        <v>540</v>
      </c>
      <c r="E89" s="12">
        <f t="shared" si="22"/>
        <v>80000</v>
      </c>
      <c r="F89" s="13">
        <v>80000</v>
      </c>
      <c r="G89" s="13"/>
      <c r="H89" s="13"/>
      <c r="I89" s="18"/>
      <c r="J89" s="12">
        <f t="shared" si="23"/>
        <v>0</v>
      </c>
      <c r="K89" s="13"/>
      <c r="L89" s="13"/>
      <c r="M89" s="13"/>
      <c r="N89" s="13"/>
      <c r="O89" s="18"/>
      <c r="P89" s="19">
        <f t="shared" si="1"/>
        <v>80000</v>
      </c>
      <c r="Q89" s="30"/>
      <c r="R89" s="33"/>
    </row>
    <row r="90" spans="1:19" s="21" customFormat="1" ht="48" x14ac:dyDescent="0.2">
      <c r="A90" s="15"/>
      <c r="B90" s="16"/>
      <c r="C90" s="16"/>
      <c r="D90" s="31" t="s">
        <v>519</v>
      </c>
      <c r="E90" s="12"/>
      <c r="F90" s="13"/>
      <c r="G90" s="13"/>
      <c r="H90" s="13"/>
      <c r="I90" s="18"/>
      <c r="J90" s="12">
        <f t="shared" si="23"/>
        <v>450000</v>
      </c>
      <c r="K90" s="13">
        <f>450000</f>
        <v>450000</v>
      </c>
      <c r="L90" s="13"/>
      <c r="M90" s="13"/>
      <c r="N90" s="13"/>
      <c r="O90" s="18">
        <f>450000</f>
        <v>450000</v>
      </c>
      <c r="P90" s="19">
        <f t="shared" si="1"/>
        <v>450000</v>
      </c>
      <c r="Q90" s="30"/>
      <c r="R90" s="33"/>
    </row>
    <row r="91" spans="1:19" s="21" customFormat="1" ht="36" x14ac:dyDescent="0.2">
      <c r="A91" s="15"/>
      <c r="B91" s="16"/>
      <c r="C91" s="16"/>
      <c r="D91" s="31" t="s">
        <v>520</v>
      </c>
      <c r="E91" s="12"/>
      <c r="F91" s="13"/>
      <c r="G91" s="13"/>
      <c r="H91" s="13"/>
      <c r="I91" s="18"/>
      <c r="J91" s="12">
        <f t="shared" si="23"/>
        <v>55000</v>
      </c>
      <c r="K91" s="13">
        <f>55000</f>
        <v>55000</v>
      </c>
      <c r="L91" s="13"/>
      <c r="M91" s="13"/>
      <c r="N91" s="13"/>
      <c r="O91" s="18">
        <f>55000</f>
        <v>55000</v>
      </c>
      <c r="P91" s="19">
        <f t="shared" si="1"/>
        <v>55000</v>
      </c>
      <c r="Q91" s="30"/>
      <c r="R91" s="33"/>
    </row>
    <row r="92" spans="1:19" s="21" customFormat="1" ht="36" x14ac:dyDescent="0.2">
      <c r="A92" s="15"/>
      <c r="B92" s="16"/>
      <c r="C92" s="16"/>
      <c r="D92" s="31" t="s">
        <v>591</v>
      </c>
      <c r="E92" s="12"/>
      <c r="F92" s="13"/>
      <c r="G92" s="13"/>
      <c r="H92" s="13"/>
      <c r="I92" s="18"/>
      <c r="J92" s="12">
        <f t="shared" si="23"/>
        <v>1162706</v>
      </c>
      <c r="K92" s="13">
        <f>1162706</f>
        <v>1162706</v>
      </c>
      <c r="L92" s="13"/>
      <c r="M92" s="13"/>
      <c r="N92" s="13"/>
      <c r="O92" s="18">
        <f>1162706</f>
        <v>1162706</v>
      </c>
      <c r="P92" s="19">
        <f t="shared" si="1"/>
        <v>1162706</v>
      </c>
      <c r="Q92" s="30"/>
      <c r="R92" s="33"/>
    </row>
    <row r="93" spans="1:19" s="21" customFormat="1" ht="61.5" customHeight="1" x14ac:dyDescent="0.2">
      <c r="A93" s="15" t="s">
        <v>332</v>
      </c>
      <c r="B93" s="16" t="s">
        <v>333</v>
      </c>
      <c r="C93" s="16" t="s">
        <v>29</v>
      </c>
      <c r="D93" s="34" t="s">
        <v>467</v>
      </c>
      <c r="E93" s="12">
        <f t="shared" si="22"/>
        <v>20410000</v>
      </c>
      <c r="F93" s="13">
        <v>20410000</v>
      </c>
      <c r="G93" s="13">
        <v>9300000</v>
      </c>
      <c r="H93" s="13">
        <v>3250000</v>
      </c>
      <c r="I93" s="18"/>
      <c r="J93" s="12">
        <f t="shared" si="23"/>
        <v>629999</v>
      </c>
      <c r="K93" s="13">
        <v>629999</v>
      </c>
      <c r="L93" s="13"/>
      <c r="M93" s="13"/>
      <c r="N93" s="13"/>
      <c r="O93" s="18">
        <f>629999</f>
        <v>629999</v>
      </c>
      <c r="P93" s="19">
        <f t="shared" si="1"/>
        <v>21039999</v>
      </c>
      <c r="Q93" s="30"/>
    </row>
    <row r="94" spans="1:19" s="21" customFormat="1" ht="12" x14ac:dyDescent="0.2">
      <c r="A94" s="15" t="s">
        <v>334</v>
      </c>
      <c r="B94" s="16" t="s">
        <v>43</v>
      </c>
      <c r="C94" s="16"/>
      <c r="D94" s="17" t="s">
        <v>335</v>
      </c>
      <c r="E94" s="12">
        <f t="shared" si="22"/>
        <v>463517600</v>
      </c>
      <c r="F94" s="13">
        <f>F95+F96</f>
        <v>463517600</v>
      </c>
      <c r="G94" s="13">
        <f t="shared" ref="G94:I94" si="24">G95+G96</f>
        <v>368570850</v>
      </c>
      <c r="H94" s="13">
        <f t="shared" si="24"/>
        <v>0</v>
      </c>
      <c r="I94" s="18">
        <f t="shared" si="24"/>
        <v>0</v>
      </c>
      <c r="J94" s="12">
        <f t="shared" si="23"/>
        <v>0</v>
      </c>
      <c r="K94" s="13"/>
      <c r="L94" s="13"/>
      <c r="M94" s="13"/>
      <c r="N94" s="13"/>
      <c r="O94" s="18"/>
      <c r="P94" s="19">
        <f t="shared" si="1"/>
        <v>463517600</v>
      </c>
      <c r="S94" s="20"/>
    </row>
    <row r="95" spans="1:19" s="21" customFormat="1" ht="24" x14ac:dyDescent="0.2">
      <c r="A95" s="15" t="s">
        <v>336</v>
      </c>
      <c r="B95" s="16" t="s">
        <v>337</v>
      </c>
      <c r="C95" s="16" t="s">
        <v>28</v>
      </c>
      <c r="D95" s="17" t="s">
        <v>440</v>
      </c>
      <c r="E95" s="12">
        <f t="shared" si="22"/>
        <v>454281200</v>
      </c>
      <c r="F95" s="13">
        <f>440400000+13881200</f>
        <v>454281200</v>
      </c>
      <c r="G95" s="13">
        <v>361000000</v>
      </c>
      <c r="H95" s="13"/>
      <c r="I95" s="18"/>
      <c r="J95" s="12"/>
      <c r="K95" s="13"/>
      <c r="L95" s="13"/>
      <c r="M95" s="13"/>
      <c r="N95" s="13"/>
      <c r="O95" s="18"/>
      <c r="P95" s="19">
        <f t="shared" si="1"/>
        <v>454281200</v>
      </c>
      <c r="S95" s="20"/>
    </row>
    <row r="96" spans="1:19" s="21" customFormat="1" ht="36" x14ac:dyDescent="0.2">
      <c r="A96" s="15" t="s">
        <v>423</v>
      </c>
      <c r="B96" s="16" t="s">
        <v>338</v>
      </c>
      <c r="C96" s="16" t="s">
        <v>29</v>
      </c>
      <c r="D96" s="34" t="s">
        <v>468</v>
      </c>
      <c r="E96" s="12">
        <f t="shared" si="22"/>
        <v>9236400</v>
      </c>
      <c r="F96" s="13">
        <f>2000000+7236400</f>
        <v>9236400</v>
      </c>
      <c r="G96" s="13">
        <f>1639350+5931500</f>
        <v>7570850</v>
      </c>
      <c r="H96" s="13"/>
      <c r="I96" s="18"/>
      <c r="J96" s="12">
        <f t="shared" si="23"/>
        <v>0</v>
      </c>
      <c r="K96" s="13"/>
      <c r="L96" s="13"/>
      <c r="M96" s="13"/>
      <c r="N96" s="13"/>
      <c r="O96" s="18"/>
      <c r="P96" s="19">
        <f t="shared" si="1"/>
        <v>9236400</v>
      </c>
    </row>
    <row r="97" spans="1:17" s="21" customFormat="1" ht="24" x14ac:dyDescent="0.2">
      <c r="A97" s="15" t="s">
        <v>128</v>
      </c>
      <c r="B97" s="16" t="s">
        <v>21</v>
      </c>
      <c r="C97" s="16" t="s">
        <v>30</v>
      </c>
      <c r="D97" s="34" t="s">
        <v>312</v>
      </c>
      <c r="E97" s="12">
        <f t="shared" ref="E97:E133" si="25">F97+I97</f>
        <v>50283300</v>
      </c>
      <c r="F97" s="13">
        <f>49683300+600000</f>
        <v>50283300</v>
      </c>
      <c r="G97" s="13">
        <f>34700000+1062500</f>
        <v>35762500</v>
      </c>
      <c r="H97" s="13">
        <f>3400000+13000</f>
        <v>3413000</v>
      </c>
      <c r="I97" s="18"/>
      <c r="J97" s="12">
        <f t="shared" si="23"/>
        <v>7574116</v>
      </c>
      <c r="K97" s="13">
        <v>1738316</v>
      </c>
      <c r="L97" s="13">
        <v>5835800</v>
      </c>
      <c r="M97" s="13">
        <v>1113200</v>
      </c>
      <c r="N97" s="13">
        <v>210000</v>
      </c>
      <c r="O97" s="18">
        <v>1738316</v>
      </c>
      <c r="P97" s="19">
        <f t="shared" si="1"/>
        <v>57857416</v>
      </c>
    </row>
    <row r="98" spans="1:17" s="21" customFormat="1" ht="24" x14ac:dyDescent="0.2">
      <c r="A98" s="15" t="s">
        <v>353</v>
      </c>
      <c r="B98" s="16" t="s">
        <v>47</v>
      </c>
      <c r="C98" s="16"/>
      <c r="D98" s="34" t="s">
        <v>354</v>
      </c>
      <c r="E98" s="12">
        <f>F98+I98</f>
        <v>221152000</v>
      </c>
      <c r="F98" s="13">
        <f>F99+F100</f>
        <v>221152000</v>
      </c>
      <c r="G98" s="13">
        <f>G99+G100</f>
        <v>117072100</v>
      </c>
      <c r="H98" s="13">
        <f>H99+H100</f>
        <v>35170000</v>
      </c>
      <c r="I98" s="18">
        <f>I99+I100</f>
        <v>0</v>
      </c>
      <c r="J98" s="12">
        <f>L98+O98</f>
        <v>18823300</v>
      </c>
      <c r="K98" s="13"/>
      <c r="L98" s="13">
        <f>L99+L100</f>
        <v>18778300</v>
      </c>
      <c r="M98" s="13">
        <f>M99+M100</f>
        <v>4644300</v>
      </c>
      <c r="N98" s="13">
        <f>N99+N100</f>
        <v>5238500</v>
      </c>
      <c r="O98" s="18">
        <f>O99+O100</f>
        <v>45000</v>
      </c>
      <c r="P98" s="19">
        <f t="shared" si="1"/>
        <v>239975300</v>
      </c>
      <c r="Q98" s="20"/>
    </row>
    <row r="99" spans="1:17" s="21" customFormat="1" ht="36" x14ac:dyDescent="0.2">
      <c r="A99" s="15" t="s">
        <v>355</v>
      </c>
      <c r="B99" s="16" t="s">
        <v>356</v>
      </c>
      <c r="C99" s="16" t="s">
        <v>15</v>
      </c>
      <c r="D99" s="34" t="s">
        <v>357</v>
      </c>
      <c r="E99" s="12">
        <f>F99+I99</f>
        <v>202664700</v>
      </c>
      <c r="F99" s="13">
        <f>197295000+2000000+3194700+165000+10000</f>
        <v>202664700</v>
      </c>
      <c r="G99" s="13">
        <f>99300000+2618600</f>
        <v>101918600</v>
      </c>
      <c r="H99" s="13">
        <v>35170000</v>
      </c>
      <c r="I99" s="18"/>
      <c r="J99" s="12">
        <f>L99+O99</f>
        <v>18823300</v>
      </c>
      <c r="K99" s="13"/>
      <c r="L99" s="13">
        <v>18778300</v>
      </c>
      <c r="M99" s="13">
        <v>4644300</v>
      </c>
      <c r="N99" s="13">
        <v>5238500</v>
      </c>
      <c r="O99" s="18">
        <v>45000</v>
      </c>
      <c r="P99" s="19">
        <f t="shared" si="1"/>
        <v>221488000</v>
      </c>
    </row>
    <row r="100" spans="1:17" s="21" customFormat="1" ht="24" x14ac:dyDescent="0.2">
      <c r="A100" s="15" t="s">
        <v>358</v>
      </c>
      <c r="B100" s="16" t="s">
        <v>359</v>
      </c>
      <c r="C100" s="16" t="s">
        <v>15</v>
      </c>
      <c r="D100" s="34" t="s">
        <v>360</v>
      </c>
      <c r="E100" s="12">
        <f t="shared" si="25"/>
        <v>18487300</v>
      </c>
      <c r="F100" s="13">
        <f>25723700-7236400</f>
        <v>18487300</v>
      </c>
      <c r="G100" s="13">
        <f>21085000-5931500</f>
        <v>15153500</v>
      </c>
      <c r="H100" s="13"/>
      <c r="I100" s="18"/>
      <c r="J100" s="12">
        <f t="shared" si="23"/>
        <v>0</v>
      </c>
      <c r="K100" s="13"/>
      <c r="L100" s="13"/>
      <c r="M100" s="13"/>
      <c r="N100" s="13"/>
      <c r="O100" s="18"/>
      <c r="P100" s="19">
        <f t="shared" si="1"/>
        <v>18487300</v>
      </c>
    </row>
    <row r="101" spans="1:17" s="21" customFormat="1" ht="24" x14ac:dyDescent="0.2">
      <c r="A101" s="15" t="s">
        <v>384</v>
      </c>
      <c r="B101" s="16" t="s">
        <v>385</v>
      </c>
      <c r="C101" s="16" t="s">
        <v>391</v>
      </c>
      <c r="D101" s="34" t="s">
        <v>386</v>
      </c>
      <c r="E101" s="12">
        <f>F101+I101</f>
        <v>14950800</v>
      </c>
      <c r="F101" s="13">
        <f>14710000+240800</f>
        <v>14950800</v>
      </c>
      <c r="G101" s="13"/>
      <c r="H101" s="13"/>
      <c r="I101" s="18"/>
      <c r="J101" s="12"/>
      <c r="K101" s="13"/>
      <c r="L101" s="13"/>
      <c r="M101" s="13"/>
      <c r="N101" s="13"/>
      <c r="O101" s="18"/>
      <c r="P101" s="19">
        <f t="shared" si="1"/>
        <v>14950800</v>
      </c>
    </row>
    <row r="102" spans="1:17" s="21" customFormat="1" ht="24" x14ac:dyDescent="0.2">
      <c r="A102" s="15" t="s">
        <v>339</v>
      </c>
      <c r="B102" s="16" t="s">
        <v>340</v>
      </c>
      <c r="C102" s="16" t="s">
        <v>31</v>
      </c>
      <c r="D102" s="34" t="s">
        <v>75</v>
      </c>
      <c r="E102" s="12">
        <f t="shared" si="25"/>
        <v>10000</v>
      </c>
      <c r="F102" s="13">
        <v>10000</v>
      </c>
      <c r="G102" s="13"/>
      <c r="H102" s="13"/>
      <c r="I102" s="18"/>
      <c r="J102" s="12">
        <f t="shared" si="23"/>
        <v>0</v>
      </c>
      <c r="K102" s="13"/>
      <c r="L102" s="13"/>
      <c r="M102" s="13"/>
      <c r="N102" s="13"/>
      <c r="O102" s="18"/>
      <c r="P102" s="19">
        <f t="shared" si="1"/>
        <v>10000</v>
      </c>
    </row>
    <row r="103" spans="1:17" s="21" customFormat="1" ht="12" x14ac:dyDescent="0.2">
      <c r="A103" s="15" t="s">
        <v>341</v>
      </c>
      <c r="B103" s="16" t="s">
        <v>342</v>
      </c>
      <c r="C103" s="16" t="s">
        <v>32</v>
      </c>
      <c r="D103" s="34" t="s">
        <v>77</v>
      </c>
      <c r="E103" s="12">
        <f t="shared" si="25"/>
        <v>1398600</v>
      </c>
      <c r="F103" s="13">
        <f>1370000+28600</f>
        <v>1398600</v>
      </c>
      <c r="G103" s="13">
        <f>1100000+23400</f>
        <v>1123400</v>
      </c>
      <c r="H103" s="13"/>
      <c r="I103" s="18"/>
      <c r="J103" s="12">
        <f t="shared" si="23"/>
        <v>0</v>
      </c>
      <c r="K103" s="13"/>
      <c r="L103" s="13"/>
      <c r="M103" s="13"/>
      <c r="N103" s="13"/>
      <c r="O103" s="18"/>
      <c r="P103" s="19">
        <f t="shared" si="1"/>
        <v>1398600</v>
      </c>
    </row>
    <row r="104" spans="1:17" s="21" customFormat="1" ht="12" x14ac:dyDescent="0.2">
      <c r="A104" s="15" t="s">
        <v>129</v>
      </c>
      <c r="B104" s="16" t="s">
        <v>347</v>
      </c>
      <c r="C104" s="16"/>
      <c r="D104" s="17" t="s">
        <v>185</v>
      </c>
      <c r="E104" s="12">
        <f t="shared" ref="E104:E108" si="26">F104+I104</f>
        <v>32502135</v>
      </c>
      <c r="F104" s="13">
        <f>F105+F108</f>
        <v>32502135</v>
      </c>
      <c r="G104" s="13">
        <f t="shared" ref="G104:I104" si="27">G105+G108</f>
        <v>21687900</v>
      </c>
      <c r="H104" s="13">
        <f t="shared" si="27"/>
        <v>3652935</v>
      </c>
      <c r="I104" s="18">
        <f t="shared" si="27"/>
        <v>0</v>
      </c>
      <c r="J104" s="12">
        <f>L104+O104</f>
        <v>0</v>
      </c>
      <c r="K104" s="13">
        <f>K105+K108</f>
        <v>0</v>
      </c>
      <c r="L104" s="13">
        <f t="shared" ref="L104:O104" si="28">L105+L108</f>
        <v>0</v>
      </c>
      <c r="M104" s="13">
        <f t="shared" si="28"/>
        <v>0</v>
      </c>
      <c r="N104" s="13">
        <f t="shared" si="28"/>
        <v>0</v>
      </c>
      <c r="O104" s="18">
        <f t="shared" si="28"/>
        <v>0</v>
      </c>
      <c r="P104" s="19">
        <f t="shared" si="1"/>
        <v>32502135</v>
      </c>
    </row>
    <row r="105" spans="1:17" s="21" customFormat="1" ht="12" x14ac:dyDescent="0.2">
      <c r="A105" s="15" t="s">
        <v>343</v>
      </c>
      <c r="B105" s="16" t="s">
        <v>344</v>
      </c>
      <c r="C105" s="16" t="s">
        <v>32</v>
      </c>
      <c r="D105" s="17" t="s">
        <v>362</v>
      </c>
      <c r="E105" s="12">
        <f t="shared" si="26"/>
        <v>32422135</v>
      </c>
      <c r="F105" s="13">
        <f>32162497+259638</f>
        <v>32422135</v>
      </c>
      <c r="G105" s="13">
        <f>21500000+109200+78700</f>
        <v>21687900</v>
      </c>
      <c r="H105" s="13">
        <f>3393297+259638</f>
        <v>3652935</v>
      </c>
      <c r="I105" s="18"/>
      <c r="J105" s="12">
        <f t="shared" ref="J105:J110" si="29">L105+O105</f>
        <v>0</v>
      </c>
      <c r="K105" s="13"/>
      <c r="L105" s="13"/>
      <c r="M105" s="13"/>
      <c r="N105" s="13"/>
      <c r="O105" s="18"/>
      <c r="P105" s="19">
        <f t="shared" si="1"/>
        <v>32422135</v>
      </c>
    </row>
    <row r="106" spans="1:17" s="21" customFormat="1" ht="12" x14ac:dyDescent="0.2">
      <c r="A106" s="15"/>
      <c r="B106" s="16"/>
      <c r="C106" s="16"/>
      <c r="D106" s="17" t="s">
        <v>314</v>
      </c>
      <c r="E106" s="12"/>
      <c r="F106" s="13"/>
      <c r="G106" s="13"/>
      <c r="H106" s="13"/>
      <c r="I106" s="18"/>
      <c r="J106" s="12"/>
      <c r="K106" s="13"/>
      <c r="L106" s="13"/>
      <c r="M106" s="13"/>
      <c r="N106" s="13"/>
      <c r="O106" s="18"/>
      <c r="P106" s="19"/>
    </row>
    <row r="107" spans="1:17" s="21" customFormat="1" ht="12" x14ac:dyDescent="0.2">
      <c r="A107" s="15"/>
      <c r="B107" s="16"/>
      <c r="C107" s="16"/>
      <c r="D107" s="17" t="s">
        <v>575</v>
      </c>
      <c r="E107" s="12">
        <f t="shared" si="26"/>
        <v>431935</v>
      </c>
      <c r="F107" s="13">
        <f>172297+259638</f>
        <v>431935</v>
      </c>
      <c r="G107" s="13"/>
      <c r="H107" s="13">
        <f>172297+259638</f>
        <v>431935</v>
      </c>
      <c r="I107" s="18"/>
      <c r="J107" s="12"/>
      <c r="K107" s="13"/>
      <c r="L107" s="13"/>
      <c r="M107" s="13"/>
      <c r="N107" s="13"/>
      <c r="O107" s="18"/>
      <c r="P107" s="19"/>
    </row>
    <row r="108" spans="1:17" s="21" customFormat="1" ht="12" x14ac:dyDescent="0.2">
      <c r="A108" s="15" t="s">
        <v>345</v>
      </c>
      <c r="B108" s="16" t="s">
        <v>346</v>
      </c>
      <c r="C108" s="16" t="s">
        <v>32</v>
      </c>
      <c r="D108" s="31" t="s">
        <v>363</v>
      </c>
      <c r="E108" s="12">
        <f t="shared" si="26"/>
        <v>80000</v>
      </c>
      <c r="F108" s="13">
        <v>80000</v>
      </c>
      <c r="G108" s="13"/>
      <c r="H108" s="13"/>
      <c r="I108" s="18"/>
      <c r="J108" s="12">
        <f t="shared" si="29"/>
        <v>0</v>
      </c>
      <c r="K108" s="13"/>
      <c r="L108" s="13"/>
      <c r="M108" s="13"/>
      <c r="N108" s="13"/>
      <c r="O108" s="18"/>
      <c r="P108" s="19">
        <f t="shared" si="1"/>
        <v>80000</v>
      </c>
    </row>
    <row r="109" spans="1:17" s="21" customFormat="1" ht="12" x14ac:dyDescent="0.2">
      <c r="A109" s="15" t="s">
        <v>130</v>
      </c>
      <c r="B109" s="16" t="s">
        <v>76</v>
      </c>
      <c r="C109" s="16"/>
      <c r="D109" s="22" t="s">
        <v>277</v>
      </c>
      <c r="E109" s="12">
        <f>F109+I109</f>
        <v>2027200</v>
      </c>
      <c r="F109" s="13">
        <f>F110+F111</f>
        <v>2027200</v>
      </c>
      <c r="G109" s="13">
        <f t="shared" ref="G109:I109" si="30">G110+G111</f>
        <v>1587000</v>
      </c>
      <c r="H109" s="13">
        <f t="shared" si="30"/>
        <v>49000</v>
      </c>
      <c r="I109" s="18">
        <f t="shared" si="30"/>
        <v>0</v>
      </c>
      <c r="J109" s="12">
        <f t="shared" si="29"/>
        <v>0</v>
      </c>
      <c r="K109" s="13"/>
      <c r="L109" s="13"/>
      <c r="M109" s="13"/>
      <c r="N109" s="13"/>
      <c r="O109" s="18"/>
      <c r="P109" s="19">
        <f t="shared" si="1"/>
        <v>2027200</v>
      </c>
    </row>
    <row r="110" spans="1:17" s="21" customFormat="1" ht="24" x14ac:dyDescent="0.2">
      <c r="A110" s="15" t="s">
        <v>348</v>
      </c>
      <c r="B110" s="16" t="s">
        <v>349</v>
      </c>
      <c r="C110" s="16" t="s">
        <v>32</v>
      </c>
      <c r="D110" s="22" t="s">
        <v>364</v>
      </c>
      <c r="E110" s="12">
        <f t="shared" ref="E110:E118" si="31">F110+I110</f>
        <v>629800</v>
      </c>
      <c r="F110" s="13">
        <f>579000+50800</f>
        <v>629800</v>
      </c>
      <c r="G110" s="13">
        <f>400000+41600</f>
        <v>441600</v>
      </c>
      <c r="H110" s="13">
        <v>49000</v>
      </c>
      <c r="I110" s="18"/>
      <c r="J110" s="12">
        <f t="shared" si="29"/>
        <v>0</v>
      </c>
      <c r="K110" s="13"/>
      <c r="L110" s="13"/>
      <c r="M110" s="13"/>
      <c r="N110" s="13"/>
      <c r="O110" s="18"/>
      <c r="P110" s="19">
        <f t="shared" ref="P110:P121" si="32">E110+J110</f>
        <v>629800</v>
      </c>
    </row>
    <row r="111" spans="1:17" s="21" customFormat="1" ht="24" x14ac:dyDescent="0.2">
      <c r="A111" s="15" t="s">
        <v>350</v>
      </c>
      <c r="B111" s="16" t="s">
        <v>351</v>
      </c>
      <c r="C111" s="16" t="s">
        <v>32</v>
      </c>
      <c r="D111" s="22" t="s">
        <v>365</v>
      </c>
      <c r="E111" s="12">
        <f t="shared" si="31"/>
        <v>1397400</v>
      </c>
      <c r="F111" s="13">
        <v>1397400</v>
      </c>
      <c r="G111" s="13">
        <v>1145400</v>
      </c>
      <c r="H111" s="13"/>
      <c r="I111" s="18"/>
      <c r="J111" s="12"/>
      <c r="K111" s="13"/>
      <c r="L111" s="13"/>
      <c r="M111" s="13"/>
      <c r="N111" s="13"/>
      <c r="O111" s="18"/>
      <c r="P111" s="19">
        <f t="shared" si="32"/>
        <v>1397400</v>
      </c>
    </row>
    <row r="112" spans="1:17" s="21" customFormat="1" ht="24" x14ac:dyDescent="0.2">
      <c r="A112" s="15" t="s">
        <v>131</v>
      </c>
      <c r="B112" s="16" t="s">
        <v>78</v>
      </c>
      <c r="C112" s="16" t="s">
        <v>32</v>
      </c>
      <c r="D112" s="22" t="s">
        <v>352</v>
      </c>
      <c r="E112" s="12">
        <f t="shared" si="31"/>
        <v>3620100</v>
      </c>
      <c r="F112" s="13">
        <f>3544000+76100</f>
        <v>3620100</v>
      </c>
      <c r="G112" s="13">
        <f>2700000+62400</f>
        <v>2762400</v>
      </c>
      <c r="H112" s="13"/>
      <c r="I112" s="18"/>
      <c r="J112" s="12"/>
      <c r="K112" s="13"/>
      <c r="L112" s="13"/>
      <c r="M112" s="13"/>
      <c r="N112" s="13"/>
      <c r="O112" s="18"/>
      <c r="P112" s="19">
        <f t="shared" si="32"/>
        <v>3620100</v>
      </c>
    </row>
    <row r="113" spans="1:17" s="21" customFormat="1" ht="60" x14ac:dyDescent="0.2">
      <c r="A113" s="15" t="s">
        <v>547</v>
      </c>
      <c r="B113" s="16" t="s">
        <v>548</v>
      </c>
      <c r="C113" s="16" t="s">
        <v>32</v>
      </c>
      <c r="D113" s="22" t="s">
        <v>549</v>
      </c>
      <c r="E113" s="12"/>
      <c r="F113" s="13"/>
      <c r="G113" s="13"/>
      <c r="H113" s="13"/>
      <c r="I113" s="18"/>
      <c r="J113" s="12">
        <f t="shared" ref="J113:J119" si="33">L113+O113</f>
        <v>2913850</v>
      </c>
      <c r="K113" s="13">
        <f>2913850</f>
        <v>2913850</v>
      </c>
      <c r="L113" s="13"/>
      <c r="M113" s="13"/>
      <c r="N113" s="13"/>
      <c r="O113" s="18">
        <f>2913850</f>
        <v>2913850</v>
      </c>
      <c r="P113" s="19">
        <f t="shared" si="32"/>
        <v>2913850</v>
      </c>
    </row>
    <row r="114" spans="1:17" s="21" customFormat="1" ht="48" x14ac:dyDescent="0.2">
      <c r="A114" s="15" t="s">
        <v>500</v>
      </c>
      <c r="B114" s="16" t="s">
        <v>501</v>
      </c>
      <c r="C114" s="16" t="s">
        <v>32</v>
      </c>
      <c r="D114" s="22" t="s">
        <v>502</v>
      </c>
      <c r="E114" s="12"/>
      <c r="F114" s="13"/>
      <c r="G114" s="13"/>
      <c r="H114" s="13"/>
      <c r="I114" s="18"/>
      <c r="J114" s="12">
        <f t="shared" si="33"/>
        <v>11655400</v>
      </c>
      <c r="K114" s="13">
        <f>11655400</f>
        <v>11655400</v>
      </c>
      <c r="L114" s="13"/>
      <c r="M114" s="13"/>
      <c r="N114" s="13"/>
      <c r="O114" s="18">
        <f>11655400</f>
        <v>11655400</v>
      </c>
      <c r="P114" s="19">
        <f t="shared" si="32"/>
        <v>11655400</v>
      </c>
    </row>
    <row r="115" spans="1:17" s="21" customFormat="1" ht="48" x14ac:dyDescent="0.2">
      <c r="A115" s="15" t="s">
        <v>489</v>
      </c>
      <c r="B115" s="16" t="s">
        <v>490</v>
      </c>
      <c r="C115" s="16" t="s">
        <v>32</v>
      </c>
      <c r="D115" s="22" t="s">
        <v>491</v>
      </c>
      <c r="E115" s="12">
        <f t="shared" si="31"/>
        <v>3670400</v>
      </c>
      <c r="F115" s="13">
        <v>3670400</v>
      </c>
      <c r="G115" s="13">
        <v>3008400</v>
      </c>
      <c r="H115" s="13"/>
      <c r="I115" s="18"/>
      <c r="J115" s="12">
        <f t="shared" si="33"/>
        <v>0</v>
      </c>
      <c r="K115" s="13"/>
      <c r="L115" s="13"/>
      <c r="M115" s="13"/>
      <c r="N115" s="13"/>
      <c r="O115" s="18"/>
      <c r="P115" s="19">
        <f t="shared" si="32"/>
        <v>3670400</v>
      </c>
    </row>
    <row r="116" spans="1:17" s="21" customFormat="1" ht="12" x14ac:dyDescent="0.2">
      <c r="A116" s="15" t="s">
        <v>513</v>
      </c>
      <c r="B116" s="16" t="s">
        <v>514</v>
      </c>
      <c r="C116" s="16" t="s">
        <v>32</v>
      </c>
      <c r="D116" s="22" t="s">
        <v>515</v>
      </c>
      <c r="E116" s="12"/>
      <c r="F116" s="13"/>
      <c r="G116" s="13"/>
      <c r="H116" s="13"/>
      <c r="I116" s="18"/>
      <c r="J116" s="12">
        <f t="shared" si="33"/>
        <v>450000</v>
      </c>
      <c r="K116" s="13">
        <f>450000</f>
        <v>450000</v>
      </c>
      <c r="L116" s="13"/>
      <c r="M116" s="13"/>
      <c r="N116" s="13"/>
      <c r="O116" s="18">
        <f>450000</f>
        <v>450000</v>
      </c>
      <c r="P116" s="19">
        <f t="shared" si="32"/>
        <v>450000</v>
      </c>
    </row>
    <row r="117" spans="1:17" s="21" customFormat="1" ht="36" x14ac:dyDescent="0.2">
      <c r="A117" s="15" t="s">
        <v>492</v>
      </c>
      <c r="B117" s="16" t="s">
        <v>494</v>
      </c>
      <c r="C117" s="16" t="s">
        <v>32</v>
      </c>
      <c r="D117" s="17" t="s">
        <v>493</v>
      </c>
      <c r="E117" s="12">
        <f t="shared" si="31"/>
        <v>0</v>
      </c>
      <c r="F117" s="13"/>
      <c r="G117" s="13"/>
      <c r="H117" s="13"/>
      <c r="I117" s="18"/>
      <c r="J117" s="12">
        <f t="shared" si="33"/>
        <v>37325200</v>
      </c>
      <c r="K117" s="13"/>
      <c r="L117" s="13">
        <v>37325200</v>
      </c>
      <c r="M117" s="13"/>
      <c r="N117" s="13"/>
      <c r="O117" s="18"/>
      <c r="P117" s="19">
        <f t="shared" si="32"/>
        <v>37325200</v>
      </c>
    </row>
    <row r="118" spans="1:17" s="21" customFormat="1" ht="36" x14ac:dyDescent="0.2">
      <c r="A118" s="15" t="s">
        <v>495</v>
      </c>
      <c r="B118" s="16" t="s">
        <v>496</v>
      </c>
      <c r="C118" s="16" t="s">
        <v>32</v>
      </c>
      <c r="D118" s="17" t="s">
        <v>497</v>
      </c>
      <c r="E118" s="12">
        <f t="shared" si="31"/>
        <v>33671000</v>
      </c>
      <c r="F118" s="13">
        <v>33671000</v>
      </c>
      <c r="G118" s="13">
        <v>27599200</v>
      </c>
      <c r="H118" s="13"/>
      <c r="I118" s="18"/>
      <c r="J118" s="12">
        <f t="shared" si="33"/>
        <v>0</v>
      </c>
      <c r="K118" s="13"/>
      <c r="L118" s="13"/>
      <c r="M118" s="13"/>
      <c r="N118" s="13"/>
      <c r="O118" s="18"/>
      <c r="P118" s="19">
        <f t="shared" si="32"/>
        <v>33671000</v>
      </c>
    </row>
    <row r="119" spans="1:17" s="21" customFormat="1" ht="24" x14ac:dyDescent="0.2">
      <c r="A119" s="15" t="s">
        <v>132</v>
      </c>
      <c r="B119" s="16" t="s">
        <v>79</v>
      </c>
      <c r="C119" s="16" t="s">
        <v>33</v>
      </c>
      <c r="D119" s="17" t="s">
        <v>488</v>
      </c>
      <c r="E119" s="12">
        <f t="shared" si="25"/>
        <v>12718200</v>
      </c>
      <c r="F119" s="13">
        <v>12718200</v>
      </c>
      <c r="G119" s="13">
        <f>7300000+182000</f>
        <v>7482000</v>
      </c>
      <c r="H119" s="13">
        <v>2030000</v>
      </c>
      <c r="I119" s="18"/>
      <c r="J119" s="12">
        <f t="shared" si="33"/>
        <v>33800</v>
      </c>
      <c r="K119" s="13">
        <f>33800</f>
        <v>33800</v>
      </c>
      <c r="L119" s="13"/>
      <c r="M119" s="13"/>
      <c r="N119" s="13"/>
      <c r="O119" s="18">
        <f>33800</f>
        <v>33800</v>
      </c>
      <c r="P119" s="19">
        <f t="shared" si="32"/>
        <v>12752000</v>
      </c>
    </row>
    <row r="120" spans="1:17" s="21" customFormat="1" ht="24" x14ac:dyDescent="0.2">
      <c r="A120" s="15" t="s">
        <v>133</v>
      </c>
      <c r="B120" s="16" t="s">
        <v>61</v>
      </c>
      <c r="C120" s="16" t="s">
        <v>34</v>
      </c>
      <c r="D120" s="34" t="s">
        <v>565</v>
      </c>
      <c r="E120" s="12">
        <f t="shared" si="25"/>
        <v>43587808</v>
      </c>
      <c r="F120" s="13">
        <f>42451000+691500+350000+95308</f>
        <v>43587808</v>
      </c>
      <c r="G120" s="13">
        <f>25500000+566800</f>
        <v>26066800</v>
      </c>
      <c r="H120" s="13">
        <v>9321000</v>
      </c>
      <c r="I120" s="18"/>
      <c r="J120" s="12">
        <f>L120+O120</f>
        <v>495196</v>
      </c>
      <c r="K120" s="13">
        <f>304496</f>
        <v>304496</v>
      </c>
      <c r="L120" s="13">
        <v>190700</v>
      </c>
      <c r="M120" s="13">
        <v>144000</v>
      </c>
      <c r="N120" s="13"/>
      <c r="O120" s="18">
        <f>304496</f>
        <v>304496</v>
      </c>
      <c r="P120" s="19">
        <f t="shared" si="32"/>
        <v>44083004</v>
      </c>
    </row>
    <row r="121" spans="1:17" s="21" customFormat="1" ht="72" x14ac:dyDescent="0.2">
      <c r="A121" s="15" t="s">
        <v>238</v>
      </c>
      <c r="B121" s="16" t="s">
        <v>236</v>
      </c>
      <c r="C121" s="16" t="s">
        <v>23</v>
      </c>
      <c r="D121" s="17" t="s">
        <v>237</v>
      </c>
      <c r="E121" s="12">
        <f t="shared" si="25"/>
        <v>0</v>
      </c>
      <c r="F121" s="13"/>
      <c r="G121" s="13"/>
      <c r="H121" s="13"/>
      <c r="I121" s="18"/>
      <c r="J121" s="12">
        <f t="shared" si="23"/>
        <v>1700000</v>
      </c>
      <c r="K121" s="13"/>
      <c r="L121" s="13">
        <v>1700000</v>
      </c>
      <c r="M121" s="13"/>
      <c r="N121" s="13"/>
      <c r="O121" s="18"/>
      <c r="P121" s="19">
        <f t="shared" si="32"/>
        <v>1700000</v>
      </c>
    </row>
    <row r="122" spans="1:17" s="6" customFormat="1" ht="25.5" x14ac:dyDescent="0.2">
      <c r="A122" s="28" t="s">
        <v>98</v>
      </c>
      <c r="B122" s="7"/>
      <c r="C122" s="7"/>
      <c r="D122" s="8" t="s">
        <v>82</v>
      </c>
      <c r="E122" s="9">
        <f>E124+E125+E127+E128+E129</f>
        <v>126825500</v>
      </c>
      <c r="F122" s="10">
        <f>F125+F127+F129+F124+F128</f>
        <v>126825500</v>
      </c>
      <c r="G122" s="10">
        <f>G125+G126+G127+G129+G124+G128</f>
        <v>2500000</v>
      </c>
      <c r="H122" s="10">
        <f>H125+H126+H127+H129+H124+H128</f>
        <v>45000</v>
      </c>
      <c r="I122" s="11">
        <f>I125+I126+I127+I129+I124+I128</f>
        <v>0</v>
      </c>
      <c r="J122" s="9">
        <f>SUM(J124:J125)+J126+J127+J128+J129+J133+J132</f>
        <v>243885200</v>
      </c>
      <c r="K122" s="10">
        <f>SUM(K124:K125)+K126+K127+K128+K129+K133+K132</f>
        <v>243685200</v>
      </c>
      <c r="L122" s="10">
        <f>SUM(L124:L125)+L126+L127+L128+L129+L133+L132</f>
        <v>0</v>
      </c>
      <c r="M122" s="10">
        <f t="shared" ref="M122:O122" si="34">SUM(M124:M125)+M126+M127+M128+M129+M133+M132</f>
        <v>0</v>
      </c>
      <c r="N122" s="10">
        <f t="shared" si="34"/>
        <v>0</v>
      </c>
      <c r="O122" s="11">
        <f t="shared" si="34"/>
        <v>243885200</v>
      </c>
      <c r="P122" s="14">
        <f>E122+J122</f>
        <v>370710700</v>
      </c>
      <c r="Q122" s="35"/>
    </row>
    <row r="123" spans="1:17" s="6" customFormat="1" ht="25.5" x14ac:dyDescent="0.2">
      <c r="A123" s="28" t="s">
        <v>99</v>
      </c>
      <c r="B123" s="7"/>
      <c r="C123" s="7"/>
      <c r="D123" s="8" t="s">
        <v>82</v>
      </c>
      <c r="E123" s="12"/>
      <c r="F123" s="10"/>
      <c r="G123" s="10"/>
      <c r="H123" s="10"/>
      <c r="I123" s="11"/>
      <c r="J123" s="12"/>
      <c r="K123" s="13"/>
      <c r="L123" s="10"/>
      <c r="M123" s="10"/>
      <c r="N123" s="10"/>
      <c r="O123" s="11"/>
      <c r="P123" s="14">
        <f t="shared" ref="P123:P183" si="35">E123+J123</f>
        <v>0</v>
      </c>
    </row>
    <row r="124" spans="1:17" s="6" customFormat="1" ht="24" x14ac:dyDescent="0.2">
      <c r="A124" s="15" t="s">
        <v>100</v>
      </c>
      <c r="B124" s="16" t="s">
        <v>56</v>
      </c>
      <c r="C124" s="16" t="s">
        <v>20</v>
      </c>
      <c r="D124" s="17" t="s">
        <v>397</v>
      </c>
      <c r="E124" s="12">
        <f>F124+I124</f>
        <v>3400000</v>
      </c>
      <c r="F124" s="13">
        <v>3400000</v>
      </c>
      <c r="G124" s="13">
        <v>2500000</v>
      </c>
      <c r="H124" s="13">
        <v>45000</v>
      </c>
      <c r="I124" s="11"/>
      <c r="J124" s="12">
        <f>L124+O124</f>
        <v>0</v>
      </c>
      <c r="K124" s="13"/>
      <c r="L124" s="13"/>
      <c r="M124" s="13"/>
      <c r="N124" s="13"/>
      <c r="O124" s="18"/>
      <c r="P124" s="19">
        <f t="shared" si="35"/>
        <v>3400000</v>
      </c>
    </row>
    <row r="125" spans="1:17" s="21" customFormat="1" ht="12" x14ac:dyDescent="0.2">
      <c r="A125" s="15" t="s">
        <v>101</v>
      </c>
      <c r="B125" s="16">
        <v>2010</v>
      </c>
      <c r="C125" s="16" t="s">
        <v>17</v>
      </c>
      <c r="D125" s="17" t="s">
        <v>11</v>
      </c>
      <c r="E125" s="12">
        <f>F125</f>
        <v>86043000</v>
      </c>
      <c r="F125" s="13">
        <f>27033500+46350000+5000000+300000+7039500+300000+20000</f>
        <v>86043000</v>
      </c>
      <c r="G125" s="13"/>
      <c r="H125" s="13"/>
      <c r="I125" s="18"/>
      <c r="J125" s="12">
        <f>L125+O125</f>
        <v>2452000</v>
      </c>
      <c r="K125" s="13">
        <f>2310000+142000</f>
        <v>2452000</v>
      </c>
      <c r="L125" s="13"/>
      <c r="M125" s="13"/>
      <c r="N125" s="13"/>
      <c r="O125" s="18">
        <f>2310000+142000</f>
        <v>2452000</v>
      </c>
      <c r="P125" s="19">
        <f t="shared" si="35"/>
        <v>88495000</v>
      </c>
    </row>
    <row r="126" spans="1:17" s="21" customFormat="1" ht="21.6" customHeight="1" x14ac:dyDescent="0.2">
      <c r="A126" s="15"/>
      <c r="B126" s="16"/>
      <c r="C126" s="16"/>
      <c r="D126" s="17" t="s">
        <v>482</v>
      </c>
      <c r="E126" s="12">
        <v>5000000</v>
      </c>
      <c r="F126" s="13">
        <v>5000000</v>
      </c>
      <c r="G126" s="13"/>
      <c r="H126" s="13"/>
      <c r="I126" s="18"/>
      <c r="J126" s="12"/>
      <c r="K126" s="13"/>
      <c r="L126" s="13"/>
      <c r="M126" s="13"/>
      <c r="N126" s="13"/>
      <c r="O126" s="18"/>
      <c r="P126" s="19">
        <v>5000000</v>
      </c>
    </row>
    <row r="127" spans="1:17" s="21" customFormat="1" ht="24" x14ac:dyDescent="0.2">
      <c r="A127" s="15" t="s">
        <v>102</v>
      </c>
      <c r="B127" s="16" t="s">
        <v>83</v>
      </c>
      <c r="C127" s="16" t="s">
        <v>18</v>
      </c>
      <c r="D127" s="17" t="s">
        <v>227</v>
      </c>
      <c r="E127" s="12">
        <f t="shared" ref="E127:E129" si="36">F127</f>
        <v>22214400</v>
      </c>
      <c r="F127" s="13">
        <v>22214400</v>
      </c>
      <c r="G127" s="13"/>
      <c r="H127" s="13"/>
      <c r="I127" s="18"/>
      <c r="J127" s="12">
        <f>L127+O127</f>
        <v>0</v>
      </c>
      <c r="K127" s="13"/>
      <c r="L127" s="13"/>
      <c r="M127" s="13"/>
      <c r="N127" s="13"/>
      <c r="O127" s="18"/>
      <c r="P127" s="19">
        <f t="shared" si="35"/>
        <v>22214400</v>
      </c>
    </row>
    <row r="128" spans="1:17" s="21" customFormat="1" ht="24" x14ac:dyDescent="0.2">
      <c r="A128" s="15" t="s">
        <v>263</v>
      </c>
      <c r="B128" s="36" t="s">
        <v>250</v>
      </c>
      <c r="C128" s="36" t="s">
        <v>264</v>
      </c>
      <c r="D128" s="37" t="s">
        <v>251</v>
      </c>
      <c r="E128" s="12">
        <f t="shared" si="36"/>
        <v>14568100</v>
      </c>
      <c r="F128" s="13">
        <f>11585600+1816500+116000+800000+250000</f>
        <v>14568100</v>
      </c>
      <c r="G128" s="13"/>
      <c r="H128" s="13"/>
      <c r="I128" s="18"/>
      <c r="J128" s="12">
        <f t="shared" ref="J128" si="37">L128+O128</f>
        <v>0</v>
      </c>
      <c r="K128" s="13"/>
      <c r="L128" s="13"/>
      <c r="M128" s="13"/>
      <c r="N128" s="13"/>
      <c r="O128" s="18"/>
      <c r="P128" s="19">
        <f t="shared" si="35"/>
        <v>14568100</v>
      </c>
    </row>
    <row r="129" spans="1:17" s="21" customFormat="1" ht="12" x14ac:dyDescent="0.2">
      <c r="A129" s="15" t="s">
        <v>259</v>
      </c>
      <c r="B129" s="16" t="s">
        <v>260</v>
      </c>
      <c r="C129" s="16" t="s">
        <v>19</v>
      </c>
      <c r="D129" s="17" t="s">
        <v>265</v>
      </c>
      <c r="E129" s="12">
        <f t="shared" si="36"/>
        <v>600000</v>
      </c>
      <c r="F129" s="13">
        <v>600000</v>
      </c>
      <c r="G129" s="13"/>
      <c r="H129" s="13"/>
      <c r="I129" s="18"/>
      <c r="J129" s="12">
        <f t="shared" ref="J129:J130" si="38">O129+L129</f>
        <v>215233200</v>
      </c>
      <c r="K129" s="13">
        <f>214734000+499200</f>
        <v>215233200</v>
      </c>
      <c r="L129" s="13">
        <f t="shared" ref="L129:N129" si="39">L131</f>
        <v>0</v>
      </c>
      <c r="M129" s="13">
        <f t="shared" si="39"/>
        <v>0</v>
      </c>
      <c r="N129" s="13">
        <f t="shared" si="39"/>
        <v>0</v>
      </c>
      <c r="O129" s="18">
        <f>214734000+499200</f>
        <v>215233200</v>
      </c>
      <c r="P129" s="19">
        <f>E129+J129</f>
        <v>215833200</v>
      </c>
    </row>
    <row r="130" spans="1:17" s="21" customFormat="1" ht="12" x14ac:dyDescent="0.2">
      <c r="A130" s="15"/>
      <c r="B130" s="16"/>
      <c r="C130" s="16"/>
      <c r="D130" s="17" t="s">
        <v>163</v>
      </c>
      <c r="E130" s="12"/>
      <c r="F130" s="13"/>
      <c r="G130" s="13"/>
      <c r="H130" s="13"/>
      <c r="I130" s="18"/>
      <c r="J130" s="12">
        <f t="shared" si="38"/>
        <v>0</v>
      </c>
      <c r="K130" s="13"/>
      <c r="L130" s="13"/>
      <c r="M130" s="13"/>
      <c r="N130" s="13"/>
      <c r="O130" s="18"/>
      <c r="P130" s="19">
        <f t="shared" si="35"/>
        <v>0</v>
      </c>
    </row>
    <row r="131" spans="1:17" s="21" customFormat="1" ht="24" x14ac:dyDescent="0.2">
      <c r="A131" s="15"/>
      <c r="B131" s="16"/>
      <c r="C131" s="16"/>
      <c r="D131" s="17" t="s">
        <v>461</v>
      </c>
      <c r="E131" s="12"/>
      <c r="F131" s="13"/>
      <c r="G131" s="13"/>
      <c r="H131" s="13"/>
      <c r="I131" s="18"/>
      <c r="J131" s="12">
        <f>O131+L131</f>
        <v>214734000</v>
      </c>
      <c r="K131" s="13">
        <v>214734000</v>
      </c>
      <c r="L131" s="13"/>
      <c r="M131" s="13"/>
      <c r="N131" s="13"/>
      <c r="O131" s="18">
        <v>214734000</v>
      </c>
      <c r="P131" s="19">
        <f t="shared" si="35"/>
        <v>214734000</v>
      </c>
    </row>
    <row r="132" spans="1:17" s="21" customFormat="1" ht="24" x14ac:dyDescent="0.2">
      <c r="A132" s="15" t="s">
        <v>592</v>
      </c>
      <c r="B132" s="16" t="s">
        <v>593</v>
      </c>
      <c r="C132" s="16" t="s">
        <v>19</v>
      </c>
      <c r="D132" s="17" t="s">
        <v>594</v>
      </c>
      <c r="E132" s="12"/>
      <c r="F132" s="13"/>
      <c r="G132" s="13"/>
      <c r="H132" s="13"/>
      <c r="I132" s="18"/>
      <c r="J132" s="12">
        <f>O132+L132</f>
        <v>26000000</v>
      </c>
      <c r="K132" s="13">
        <f>10000000+16000000</f>
        <v>26000000</v>
      </c>
      <c r="L132" s="13"/>
      <c r="M132" s="13"/>
      <c r="N132" s="13"/>
      <c r="O132" s="18">
        <f>10000000+16000000</f>
        <v>26000000</v>
      </c>
      <c r="P132" s="19">
        <f t="shared" si="35"/>
        <v>26000000</v>
      </c>
    </row>
    <row r="133" spans="1:17" s="21" customFormat="1" ht="72" x14ac:dyDescent="0.2">
      <c r="A133" s="15" t="s">
        <v>239</v>
      </c>
      <c r="B133" s="16" t="s">
        <v>236</v>
      </c>
      <c r="C133" s="16" t="s">
        <v>23</v>
      </c>
      <c r="D133" s="17" t="s">
        <v>237</v>
      </c>
      <c r="E133" s="12">
        <f t="shared" si="25"/>
        <v>0</v>
      </c>
      <c r="F133" s="13"/>
      <c r="G133" s="13"/>
      <c r="H133" s="13"/>
      <c r="I133" s="18"/>
      <c r="J133" s="12">
        <f>O133+L133</f>
        <v>200000</v>
      </c>
      <c r="K133" s="13">
        <v>0</v>
      </c>
      <c r="L133" s="13"/>
      <c r="M133" s="13"/>
      <c r="N133" s="13"/>
      <c r="O133" s="18">
        <v>200000</v>
      </c>
      <c r="P133" s="19">
        <f>E133+J133</f>
        <v>200000</v>
      </c>
    </row>
    <row r="134" spans="1:17" s="6" customFormat="1" ht="25.5" x14ac:dyDescent="0.2">
      <c r="A134" s="28" t="s">
        <v>103</v>
      </c>
      <c r="B134" s="7"/>
      <c r="C134" s="7"/>
      <c r="D134" s="8" t="s">
        <v>280</v>
      </c>
      <c r="E134" s="9">
        <f>E136+E137+E140+E141+E142+E143+E145+E148+E149+E152+E163+E164+E168+E144+E150+E167+E151</f>
        <v>636982561</v>
      </c>
      <c r="F134" s="10">
        <f>F136+F137+F140+F141+F142+F143+F145+F148+F149+F152+F163+F164+F168+F144+F150+F167+F151</f>
        <v>636982561</v>
      </c>
      <c r="G134" s="10">
        <f>G136+G137+G140+G141+G142+G143+G145+G148+G149+G152+G163+G164+G168+G144+G150+G151</f>
        <v>53750000</v>
      </c>
      <c r="H134" s="10">
        <f t="shared" ref="H134:O134" si="40">H136+H137+H140+H141+H142+H143+H145+H148+H149+H152+H163+H164+H168+H144+H150+H151</f>
        <v>2449500</v>
      </c>
      <c r="I134" s="11">
        <f t="shared" si="40"/>
        <v>0</v>
      </c>
      <c r="J134" s="9">
        <f t="shared" si="40"/>
        <v>1000000</v>
      </c>
      <c r="K134" s="10">
        <f t="shared" si="40"/>
        <v>0</v>
      </c>
      <c r="L134" s="10">
        <f t="shared" si="40"/>
        <v>1000000</v>
      </c>
      <c r="M134" s="10">
        <f t="shared" si="40"/>
        <v>0</v>
      </c>
      <c r="N134" s="10">
        <f t="shared" si="40"/>
        <v>0</v>
      </c>
      <c r="O134" s="11">
        <f t="shared" si="40"/>
        <v>0</v>
      </c>
      <c r="P134" s="14">
        <f>E134+J134</f>
        <v>637982561</v>
      </c>
      <c r="Q134" s="29"/>
    </row>
    <row r="135" spans="1:17" s="6" customFormat="1" ht="25.5" x14ac:dyDescent="0.2">
      <c r="A135" s="28" t="s">
        <v>122</v>
      </c>
      <c r="B135" s="7"/>
      <c r="C135" s="7"/>
      <c r="D135" s="8" t="s">
        <v>280</v>
      </c>
      <c r="E135" s="38"/>
      <c r="F135" s="39"/>
      <c r="G135" s="39"/>
      <c r="H135" s="39"/>
      <c r="I135" s="40"/>
      <c r="J135" s="41">
        <f t="shared" ref="J135:J139" si="41">L135+O135</f>
        <v>0</v>
      </c>
      <c r="K135" s="42"/>
      <c r="L135" s="39"/>
      <c r="M135" s="39"/>
      <c r="N135" s="39"/>
      <c r="O135" s="40"/>
      <c r="P135" s="43">
        <f t="shared" si="35"/>
        <v>0</v>
      </c>
      <c r="Q135" s="44"/>
    </row>
    <row r="136" spans="1:17" s="21" customFormat="1" ht="24" x14ac:dyDescent="0.2">
      <c r="A136" s="15" t="s">
        <v>115</v>
      </c>
      <c r="B136" s="16" t="s">
        <v>56</v>
      </c>
      <c r="C136" s="16" t="s">
        <v>20</v>
      </c>
      <c r="D136" s="17" t="s">
        <v>397</v>
      </c>
      <c r="E136" s="12">
        <f>F136+I136</f>
        <v>38841960</v>
      </c>
      <c r="F136" s="13">
        <f>38800000+41960</f>
        <v>38841960</v>
      </c>
      <c r="G136" s="13">
        <v>29400000</v>
      </c>
      <c r="H136" s="13">
        <v>905000</v>
      </c>
      <c r="I136" s="18"/>
      <c r="J136" s="12">
        <f t="shared" si="41"/>
        <v>0</v>
      </c>
      <c r="K136" s="13"/>
      <c r="L136" s="13"/>
      <c r="M136" s="42"/>
      <c r="N136" s="42"/>
      <c r="O136" s="45"/>
      <c r="P136" s="19">
        <f t="shared" si="35"/>
        <v>38841960</v>
      </c>
      <c r="Q136" s="46"/>
    </row>
    <row r="137" spans="1:17" s="21" customFormat="1" ht="12.75" x14ac:dyDescent="0.2">
      <c r="A137" s="15" t="s">
        <v>245</v>
      </c>
      <c r="B137" s="16" t="s">
        <v>13</v>
      </c>
      <c r="C137" s="16" t="s">
        <v>14</v>
      </c>
      <c r="D137" s="17" t="s">
        <v>150</v>
      </c>
      <c r="E137" s="12">
        <f t="shared" ref="E137:E168" si="42">F137+I137</f>
        <v>3500000</v>
      </c>
      <c r="F137" s="13">
        <f>F139</f>
        <v>3500000</v>
      </c>
      <c r="G137" s="13"/>
      <c r="H137" s="13"/>
      <c r="I137" s="18"/>
      <c r="J137" s="12">
        <f t="shared" si="41"/>
        <v>0</v>
      </c>
      <c r="K137" s="13"/>
      <c r="L137" s="13"/>
      <c r="M137" s="42"/>
      <c r="N137" s="42"/>
      <c r="O137" s="45"/>
      <c r="P137" s="19">
        <f t="shared" si="35"/>
        <v>3500000</v>
      </c>
    </row>
    <row r="138" spans="1:17" s="21" customFormat="1" ht="12.75" x14ac:dyDescent="0.2">
      <c r="A138" s="15"/>
      <c r="B138" s="16"/>
      <c r="C138" s="16"/>
      <c r="D138" s="17" t="s">
        <v>163</v>
      </c>
      <c r="E138" s="12"/>
      <c r="F138" s="13"/>
      <c r="G138" s="13"/>
      <c r="H138" s="13"/>
      <c r="I138" s="18"/>
      <c r="J138" s="12">
        <f t="shared" si="41"/>
        <v>0</v>
      </c>
      <c r="K138" s="13"/>
      <c r="L138" s="13"/>
      <c r="M138" s="42"/>
      <c r="N138" s="42"/>
      <c r="O138" s="45"/>
      <c r="P138" s="19">
        <f t="shared" si="35"/>
        <v>0</v>
      </c>
    </row>
    <row r="139" spans="1:17" s="21" customFormat="1" ht="12.75" x14ac:dyDescent="0.2">
      <c r="A139" s="15"/>
      <c r="B139" s="16"/>
      <c r="C139" s="16"/>
      <c r="D139" s="22" t="s">
        <v>272</v>
      </c>
      <c r="E139" s="12">
        <f t="shared" si="42"/>
        <v>3500000</v>
      </c>
      <c r="F139" s="13">
        <v>3500000</v>
      </c>
      <c r="G139" s="13"/>
      <c r="H139" s="13"/>
      <c r="I139" s="18"/>
      <c r="J139" s="12">
        <f t="shared" si="41"/>
        <v>0</v>
      </c>
      <c r="K139" s="13"/>
      <c r="L139" s="13"/>
      <c r="M139" s="42"/>
      <c r="N139" s="42"/>
      <c r="O139" s="45"/>
      <c r="P139" s="19">
        <f t="shared" si="35"/>
        <v>3500000</v>
      </c>
    </row>
    <row r="140" spans="1:17" s="21" customFormat="1" ht="24" x14ac:dyDescent="0.2">
      <c r="A140" s="15" t="s">
        <v>116</v>
      </c>
      <c r="B140" s="16">
        <v>3031</v>
      </c>
      <c r="C140" s="16" t="s">
        <v>43</v>
      </c>
      <c r="D140" s="17" t="s">
        <v>94</v>
      </c>
      <c r="E140" s="12">
        <f t="shared" si="42"/>
        <v>250000</v>
      </c>
      <c r="F140" s="13">
        <v>250000</v>
      </c>
      <c r="G140" s="13"/>
      <c r="H140" s="13"/>
      <c r="I140" s="18"/>
      <c r="J140" s="12">
        <f t="shared" ref="J140:J236" si="43">L140+O140</f>
        <v>0</v>
      </c>
      <c r="K140" s="13"/>
      <c r="L140" s="13"/>
      <c r="M140" s="42"/>
      <c r="N140" s="42"/>
      <c r="O140" s="45"/>
      <c r="P140" s="19">
        <f t="shared" si="35"/>
        <v>250000</v>
      </c>
    </row>
    <row r="141" spans="1:17" s="21" customFormat="1" ht="24" x14ac:dyDescent="0.2">
      <c r="A141" s="15" t="s">
        <v>117</v>
      </c>
      <c r="B141" s="16" t="s">
        <v>95</v>
      </c>
      <c r="C141" s="16" t="s">
        <v>21</v>
      </c>
      <c r="D141" s="17" t="s">
        <v>361</v>
      </c>
      <c r="E141" s="12">
        <f t="shared" si="42"/>
        <v>650000</v>
      </c>
      <c r="F141" s="13">
        <v>650000</v>
      </c>
      <c r="G141" s="13"/>
      <c r="H141" s="13"/>
      <c r="I141" s="18"/>
      <c r="J141" s="12">
        <f t="shared" si="43"/>
        <v>0</v>
      </c>
      <c r="K141" s="13"/>
      <c r="L141" s="13"/>
      <c r="M141" s="42"/>
      <c r="N141" s="42"/>
      <c r="O141" s="45"/>
      <c r="P141" s="19">
        <f t="shared" si="35"/>
        <v>650000</v>
      </c>
    </row>
    <row r="142" spans="1:17" s="21" customFormat="1" ht="24" x14ac:dyDescent="0.2">
      <c r="A142" s="15" t="s">
        <v>145</v>
      </c>
      <c r="B142" s="16" t="s">
        <v>146</v>
      </c>
      <c r="C142" s="16" t="s">
        <v>21</v>
      </c>
      <c r="D142" s="17" t="s">
        <v>438</v>
      </c>
      <c r="E142" s="12">
        <f t="shared" si="42"/>
        <v>96000000</v>
      </c>
      <c r="F142" s="13">
        <v>96000000</v>
      </c>
      <c r="G142" s="13"/>
      <c r="H142" s="13"/>
      <c r="I142" s="18"/>
      <c r="J142" s="12">
        <f t="shared" si="43"/>
        <v>0</v>
      </c>
      <c r="K142" s="13"/>
      <c r="L142" s="13"/>
      <c r="M142" s="42"/>
      <c r="N142" s="42"/>
      <c r="O142" s="45"/>
      <c r="P142" s="19">
        <f t="shared" si="35"/>
        <v>96000000</v>
      </c>
    </row>
    <row r="143" spans="1:17" s="21" customFormat="1" ht="24" x14ac:dyDescent="0.2">
      <c r="A143" s="15" t="s">
        <v>147</v>
      </c>
      <c r="B143" s="16" t="s">
        <v>148</v>
      </c>
      <c r="C143" s="16" t="s">
        <v>21</v>
      </c>
      <c r="D143" s="17" t="s">
        <v>7</v>
      </c>
      <c r="E143" s="12">
        <f t="shared" si="42"/>
        <v>2916000</v>
      </c>
      <c r="F143" s="13">
        <v>2916000</v>
      </c>
      <c r="G143" s="13"/>
      <c r="H143" s="13"/>
      <c r="I143" s="18"/>
      <c r="J143" s="12">
        <f t="shared" si="43"/>
        <v>0</v>
      </c>
      <c r="K143" s="13"/>
      <c r="L143" s="13"/>
      <c r="M143" s="42"/>
      <c r="N143" s="42"/>
      <c r="O143" s="45"/>
      <c r="P143" s="19">
        <f t="shared" si="35"/>
        <v>2916000</v>
      </c>
    </row>
    <row r="144" spans="1:17" s="21" customFormat="1" ht="24" x14ac:dyDescent="0.2">
      <c r="A144" s="15" t="s">
        <v>118</v>
      </c>
      <c r="B144" s="16">
        <v>3050</v>
      </c>
      <c r="C144" s="16" t="s">
        <v>21</v>
      </c>
      <c r="D144" s="17" t="s">
        <v>52</v>
      </c>
      <c r="E144" s="12">
        <f t="shared" si="42"/>
        <v>320045</v>
      </c>
      <c r="F144" s="13">
        <v>320045</v>
      </c>
      <c r="G144" s="13"/>
      <c r="H144" s="13"/>
      <c r="I144" s="18"/>
      <c r="J144" s="12">
        <f t="shared" si="43"/>
        <v>0</v>
      </c>
      <c r="K144" s="13"/>
      <c r="L144" s="13"/>
      <c r="M144" s="42"/>
      <c r="N144" s="42"/>
      <c r="O144" s="45"/>
      <c r="P144" s="19">
        <f t="shared" si="35"/>
        <v>320045</v>
      </c>
    </row>
    <row r="145" spans="1:17" s="21" customFormat="1" ht="24" x14ac:dyDescent="0.2">
      <c r="A145" s="15" t="s">
        <v>119</v>
      </c>
      <c r="B145" s="16">
        <v>3090</v>
      </c>
      <c r="C145" s="16" t="s">
        <v>43</v>
      </c>
      <c r="D145" s="17" t="s">
        <v>586</v>
      </c>
      <c r="E145" s="12">
        <f>F145+I145</f>
        <v>2513356</v>
      </c>
      <c r="F145" s="13">
        <f>2500000+13356-1500000+1500000</f>
        <v>2513356</v>
      </c>
      <c r="G145" s="13"/>
      <c r="H145" s="13"/>
      <c r="I145" s="18"/>
      <c r="J145" s="12">
        <f t="shared" si="43"/>
        <v>0</v>
      </c>
      <c r="K145" s="13"/>
      <c r="L145" s="13"/>
      <c r="M145" s="42"/>
      <c r="N145" s="42"/>
      <c r="O145" s="45"/>
      <c r="P145" s="19">
        <f t="shared" si="35"/>
        <v>2513356</v>
      </c>
    </row>
    <row r="146" spans="1:17" s="21" customFormat="1" ht="12.75" x14ac:dyDescent="0.2">
      <c r="A146" s="15"/>
      <c r="B146" s="16"/>
      <c r="C146" s="16"/>
      <c r="D146" s="47" t="s">
        <v>222</v>
      </c>
      <c r="E146" s="12">
        <f t="shared" si="42"/>
        <v>0</v>
      </c>
      <c r="F146" s="13"/>
      <c r="G146" s="13"/>
      <c r="H146" s="13"/>
      <c r="I146" s="18"/>
      <c r="J146" s="12"/>
      <c r="K146" s="13"/>
      <c r="L146" s="13"/>
      <c r="M146" s="42"/>
      <c r="N146" s="42"/>
      <c r="O146" s="45"/>
      <c r="P146" s="19">
        <f t="shared" si="35"/>
        <v>0</v>
      </c>
    </row>
    <row r="147" spans="1:17" s="21" customFormat="1" ht="12.75" x14ac:dyDescent="0.2">
      <c r="A147" s="15"/>
      <c r="B147" s="16"/>
      <c r="C147" s="16"/>
      <c r="D147" s="47" t="s">
        <v>194</v>
      </c>
      <c r="E147" s="12">
        <f t="shared" si="42"/>
        <v>13356</v>
      </c>
      <c r="F147" s="13">
        <v>13356</v>
      </c>
      <c r="G147" s="13"/>
      <c r="H147" s="13"/>
      <c r="I147" s="18"/>
      <c r="J147" s="12"/>
      <c r="K147" s="13"/>
      <c r="L147" s="13"/>
      <c r="M147" s="42"/>
      <c r="N147" s="42"/>
      <c r="O147" s="45"/>
      <c r="P147" s="19">
        <f t="shared" si="35"/>
        <v>13356</v>
      </c>
      <c r="Q147" s="20"/>
    </row>
    <row r="148" spans="1:17" s="21" customFormat="1" ht="48" x14ac:dyDescent="0.2">
      <c r="A148" s="15" t="s">
        <v>224</v>
      </c>
      <c r="B148" s="16" t="s">
        <v>225</v>
      </c>
      <c r="C148" s="16" t="s">
        <v>45</v>
      </c>
      <c r="D148" s="17" t="s">
        <v>226</v>
      </c>
      <c r="E148" s="12">
        <f t="shared" si="42"/>
        <v>20000000</v>
      </c>
      <c r="F148" s="13">
        <v>20000000</v>
      </c>
      <c r="G148" s="13"/>
      <c r="H148" s="13"/>
      <c r="I148" s="18"/>
      <c r="J148" s="12">
        <f t="shared" si="43"/>
        <v>0</v>
      </c>
      <c r="K148" s="13"/>
      <c r="L148" s="13"/>
      <c r="M148" s="42"/>
      <c r="N148" s="42"/>
      <c r="O148" s="45"/>
      <c r="P148" s="19">
        <f t="shared" si="35"/>
        <v>20000000</v>
      </c>
    </row>
    <row r="149" spans="1:17" s="21" customFormat="1" ht="48" x14ac:dyDescent="0.2">
      <c r="A149" s="15" t="s">
        <v>213</v>
      </c>
      <c r="B149" s="16" t="s">
        <v>214</v>
      </c>
      <c r="C149" s="16" t="s">
        <v>44</v>
      </c>
      <c r="D149" s="17" t="s">
        <v>212</v>
      </c>
      <c r="E149" s="12">
        <f t="shared" si="42"/>
        <v>30000000</v>
      </c>
      <c r="F149" s="13">
        <f>30000000-2000000+2000000</f>
        <v>30000000</v>
      </c>
      <c r="G149" s="13"/>
      <c r="H149" s="13"/>
      <c r="I149" s="18"/>
      <c r="J149" s="12">
        <f t="shared" si="43"/>
        <v>0</v>
      </c>
      <c r="K149" s="13"/>
      <c r="L149" s="13"/>
      <c r="M149" s="42"/>
      <c r="N149" s="42"/>
      <c r="O149" s="45"/>
      <c r="P149" s="19">
        <f t="shared" si="35"/>
        <v>30000000</v>
      </c>
    </row>
    <row r="150" spans="1:17" s="21" customFormat="1" ht="38.25" customHeight="1" x14ac:dyDescent="0.2">
      <c r="A150" s="15" t="s">
        <v>388</v>
      </c>
      <c r="B150" s="16" t="s">
        <v>389</v>
      </c>
      <c r="C150" s="16" t="s">
        <v>43</v>
      </c>
      <c r="D150" s="17" t="s">
        <v>390</v>
      </c>
      <c r="E150" s="12">
        <f t="shared" si="42"/>
        <v>500000</v>
      </c>
      <c r="F150" s="13">
        <f>280000+220000</f>
        <v>500000</v>
      </c>
      <c r="G150" s="13"/>
      <c r="H150" s="13"/>
      <c r="I150" s="18"/>
      <c r="J150" s="12"/>
      <c r="K150" s="13"/>
      <c r="L150" s="13"/>
      <c r="M150" s="42"/>
      <c r="N150" s="42"/>
      <c r="O150" s="45"/>
      <c r="P150" s="19">
        <f t="shared" si="35"/>
        <v>500000</v>
      </c>
    </row>
    <row r="151" spans="1:17" s="118" customFormat="1" ht="48" x14ac:dyDescent="0.2">
      <c r="A151" s="112" t="s">
        <v>590</v>
      </c>
      <c r="B151" s="113" t="s">
        <v>542</v>
      </c>
      <c r="C151" s="113" t="s">
        <v>47</v>
      </c>
      <c r="D151" s="114" t="s">
        <v>543</v>
      </c>
      <c r="E151" s="119">
        <f t="shared" si="42"/>
        <v>297734</v>
      </c>
      <c r="F151" s="120">
        <v>297734</v>
      </c>
      <c r="G151" s="120">
        <v>250000</v>
      </c>
      <c r="H151" s="120"/>
      <c r="I151" s="121"/>
      <c r="J151" s="119"/>
      <c r="K151" s="120"/>
      <c r="L151" s="120"/>
      <c r="M151" s="120"/>
      <c r="N151" s="120"/>
      <c r="O151" s="121"/>
      <c r="P151" s="122">
        <f t="shared" si="35"/>
        <v>297734</v>
      </c>
    </row>
    <row r="152" spans="1:17" s="21" customFormat="1" ht="12.75" x14ac:dyDescent="0.2">
      <c r="A152" s="15" t="s">
        <v>217</v>
      </c>
      <c r="B152" s="16" t="s">
        <v>218</v>
      </c>
      <c r="C152" s="16"/>
      <c r="D152" s="17" t="s">
        <v>249</v>
      </c>
      <c r="E152" s="12">
        <f>F152+I152</f>
        <v>411139158</v>
      </c>
      <c r="F152" s="13">
        <f>F153+F159</f>
        <v>411139158</v>
      </c>
      <c r="G152" s="13">
        <f>G153+G159</f>
        <v>6550000</v>
      </c>
      <c r="H152" s="13">
        <f>H153+H159</f>
        <v>693500</v>
      </c>
      <c r="I152" s="18">
        <f>I155+I156+I157+I159</f>
        <v>0</v>
      </c>
      <c r="J152" s="12">
        <f t="shared" si="43"/>
        <v>0</v>
      </c>
      <c r="K152" s="13"/>
      <c r="L152" s="13"/>
      <c r="M152" s="42"/>
      <c r="N152" s="42"/>
      <c r="O152" s="45"/>
      <c r="P152" s="19">
        <f t="shared" si="35"/>
        <v>411139158</v>
      </c>
    </row>
    <row r="153" spans="1:17" s="21" customFormat="1" ht="36" x14ac:dyDescent="0.2">
      <c r="A153" s="15" t="s">
        <v>215</v>
      </c>
      <c r="B153" s="16" t="s">
        <v>216</v>
      </c>
      <c r="C153" s="16" t="s">
        <v>47</v>
      </c>
      <c r="D153" s="17" t="s">
        <v>510</v>
      </c>
      <c r="E153" s="12">
        <f>F153+I153</f>
        <v>11191400</v>
      </c>
      <c r="F153" s="13">
        <f>F155+F156+F157+F158</f>
        <v>11191400</v>
      </c>
      <c r="G153" s="13">
        <f t="shared" ref="G153:O153" si="44">G155+G156+G157+G158</f>
        <v>6550000</v>
      </c>
      <c r="H153" s="13">
        <f t="shared" si="44"/>
        <v>693500</v>
      </c>
      <c r="I153" s="18">
        <f t="shared" si="44"/>
        <v>0</v>
      </c>
      <c r="J153" s="12">
        <f t="shared" si="43"/>
        <v>0</v>
      </c>
      <c r="K153" s="13">
        <f t="shared" si="44"/>
        <v>0</v>
      </c>
      <c r="L153" s="13">
        <f t="shared" si="44"/>
        <v>0</v>
      </c>
      <c r="M153" s="13">
        <f t="shared" si="44"/>
        <v>0</v>
      </c>
      <c r="N153" s="13">
        <f t="shared" si="44"/>
        <v>0</v>
      </c>
      <c r="O153" s="18">
        <f t="shared" si="44"/>
        <v>0</v>
      </c>
      <c r="P153" s="19">
        <f>E153+J153</f>
        <v>11191400</v>
      </c>
    </row>
    <row r="154" spans="1:17" s="21" customFormat="1" ht="12.75" x14ac:dyDescent="0.2">
      <c r="A154" s="15"/>
      <c r="B154" s="16"/>
      <c r="C154" s="16"/>
      <c r="D154" s="47" t="s">
        <v>222</v>
      </c>
      <c r="E154" s="12"/>
      <c r="F154" s="13"/>
      <c r="G154" s="13"/>
      <c r="H154" s="13"/>
      <c r="I154" s="18"/>
      <c r="J154" s="12">
        <f t="shared" si="43"/>
        <v>0</v>
      </c>
      <c r="K154" s="13"/>
      <c r="L154" s="13"/>
      <c r="M154" s="42"/>
      <c r="N154" s="42"/>
      <c r="O154" s="45"/>
      <c r="P154" s="19">
        <f t="shared" si="35"/>
        <v>0</v>
      </c>
    </row>
    <row r="155" spans="1:17" s="21" customFormat="1" ht="12.75" x14ac:dyDescent="0.2">
      <c r="A155" s="15"/>
      <c r="B155" s="16"/>
      <c r="C155" s="16"/>
      <c r="D155" s="47" t="s">
        <v>418</v>
      </c>
      <c r="E155" s="12">
        <f t="shared" si="42"/>
        <v>602200</v>
      </c>
      <c r="F155" s="13">
        <v>602200</v>
      </c>
      <c r="G155" s="13"/>
      <c r="H155" s="13"/>
      <c r="I155" s="18"/>
      <c r="J155" s="12">
        <f t="shared" si="43"/>
        <v>0</v>
      </c>
      <c r="K155" s="13"/>
      <c r="L155" s="13"/>
      <c r="M155" s="42"/>
      <c r="N155" s="42"/>
      <c r="O155" s="45"/>
      <c r="P155" s="19">
        <f t="shared" si="35"/>
        <v>602200</v>
      </c>
    </row>
    <row r="156" spans="1:17" s="21" customFormat="1" ht="35.450000000000003" customHeight="1" x14ac:dyDescent="0.2">
      <c r="A156" s="15"/>
      <c r="B156" s="16"/>
      <c r="C156" s="16"/>
      <c r="D156" s="27" t="s">
        <v>483</v>
      </c>
      <c r="E156" s="12">
        <f t="shared" si="42"/>
        <v>2623700</v>
      </c>
      <c r="F156" s="13">
        <v>2623700</v>
      </c>
      <c r="G156" s="13">
        <v>1450000</v>
      </c>
      <c r="H156" s="13">
        <f>170000+120000</f>
        <v>290000</v>
      </c>
      <c r="I156" s="18"/>
      <c r="J156" s="12">
        <f t="shared" si="43"/>
        <v>0</v>
      </c>
      <c r="K156" s="13"/>
      <c r="L156" s="13"/>
      <c r="M156" s="42"/>
      <c r="N156" s="42"/>
      <c r="O156" s="45"/>
      <c r="P156" s="19">
        <f t="shared" si="35"/>
        <v>2623700</v>
      </c>
    </row>
    <row r="157" spans="1:17" s="21" customFormat="1" ht="12.75" x14ac:dyDescent="0.2">
      <c r="A157" s="15"/>
      <c r="B157" s="16"/>
      <c r="C157" s="16"/>
      <c r="D157" s="47" t="s">
        <v>195</v>
      </c>
      <c r="E157" s="12">
        <f t="shared" si="42"/>
        <v>4679500</v>
      </c>
      <c r="F157" s="13">
        <v>4679500</v>
      </c>
      <c r="G157" s="13">
        <v>2900000</v>
      </c>
      <c r="H157" s="13">
        <v>343500</v>
      </c>
      <c r="I157" s="18"/>
      <c r="J157" s="12">
        <f t="shared" si="43"/>
        <v>0</v>
      </c>
      <c r="K157" s="13"/>
      <c r="L157" s="13"/>
      <c r="M157" s="42"/>
      <c r="N157" s="42"/>
      <c r="O157" s="45"/>
      <c r="P157" s="19">
        <f t="shared" si="35"/>
        <v>4679500</v>
      </c>
    </row>
    <row r="158" spans="1:17" s="21" customFormat="1" ht="15" x14ac:dyDescent="0.2">
      <c r="A158" s="15"/>
      <c r="B158" s="16"/>
      <c r="C158" s="16"/>
      <c r="D158" s="47" t="s">
        <v>424</v>
      </c>
      <c r="E158" s="66">
        <f t="shared" ref="E158" si="45">F158</f>
        <v>3286000</v>
      </c>
      <c r="F158" s="67">
        <f>3235000+51000</f>
        <v>3286000</v>
      </c>
      <c r="G158" s="67">
        <v>2200000</v>
      </c>
      <c r="H158" s="67">
        <v>60000</v>
      </c>
      <c r="I158" s="68"/>
      <c r="J158" s="66">
        <f t="shared" si="43"/>
        <v>0</v>
      </c>
      <c r="K158" s="67"/>
      <c r="L158" s="67"/>
      <c r="M158" s="67"/>
      <c r="N158" s="67"/>
      <c r="O158" s="68"/>
      <c r="P158" s="69">
        <f t="shared" si="35"/>
        <v>3286000</v>
      </c>
    </row>
    <row r="159" spans="1:17" s="21" customFormat="1" ht="21.75" customHeight="1" x14ac:dyDescent="0.2">
      <c r="A159" s="15" t="s">
        <v>219</v>
      </c>
      <c r="B159" s="16" t="s">
        <v>220</v>
      </c>
      <c r="C159" s="16" t="s">
        <v>47</v>
      </c>
      <c r="D159" s="17" t="s">
        <v>221</v>
      </c>
      <c r="E159" s="12">
        <f>F159+I159</f>
        <v>399947758</v>
      </c>
      <c r="F159" s="13">
        <f>F161+F162</f>
        <v>399947758</v>
      </c>
      <c r="G159" s="13">
        <f>G161+G162</f>
        <v>0</v>
      </c>
      <c r="H159" s="13">
        <f>H161+H162</f>
        <v>0</v>
      </c>
      <c r="I159" s="18">
        <f>I161+I162</f>
        <v>0</v>
      </c>
      <c r="J159" s="12">
        <f t="shared" si="43"/>
        <v>0</v>
      </c>
      <c r="K159" s="13"/>
      <c r="L159" s="13"/>
      <c r="M159" s="42"/>
      <c r="N159" s="42"/>
      <c r="O159" s="45"/>
      <c r="P159" s="19">
        <f t="shared" si="35"/>
        <v>399947758</v>
      </c>
    </row>
    <row r="160" spans="1:17" s="21" customFormat="1" ht="12.75" x14ac:dyDescent="0.2">
      <c r="A160" s="15"/>
      <c r="B160" s="16"/>
      <c r="C160" s="16"/>
      <c r="D160" s="47" t="s">
        <v>222</v>
      </c>
      <c r="E160" s="12"/>
      <c r="F160" s="13"/>
      <c r="G160" s="13"/>
      <c r="H160" s="13"/>
      <c r="I160" s="18"/>
      <c r="J160" s="12">
        <f t="shared" si="43"/>
        <v>0</v>
      </c>
      <c r="K160" s="13"/>
      <c r="L160" s="13"/>
      <c r="M160" s="42"/>
      <c r="N160" s="42"/>
      <c r="O160" s="45"/>
      <c r="P160" s="19">
        <f t="shared" si="35"/>
        <v>0</v>
      </c>
    </row>
    <row r="161" spans="1:18" s="21" customFormat="1" ht="12.75" x14ac:dyDescent="0.2">
      <c r="A161" s="15"/>
      <c r="B161" s="16"/>
      <c r="C161" s="16"/>
      <c r="D161" s="47" t="s">
        <v>223</v>
      </c>
      <c r="E161" s="12">
        <f t="shared" si="42"/>
        <v>399729400</v>
      </c>
      <c r="F161" s="13">
        <f>400000000-1280000-30000+195800-640000-640000+2545600-75000000+75000000-102000-320000</f>
        <v>399729400</v>
      </c>
      <c r="G161" s="13"/>
      <c r="H161" s="13"/>
      <c r="I161" s="18"/>
      <c r="J161" s="12">
        <f t="shared" si="43"/>
        <v>0</v>
      </c>
      <c r="K161" s="13"/>
      <c r="L161" s="13"/>
      <c r="M161" s="42"/>
      <c r="N161" s="42"/>
      <c r="O161" s="45"/>
      <c r="P161" s="19">
        <f t="shared" si="35"/>
        <v>399729400</v>
      </c>
    </row>
    <row r="162" spans="1:18" s="21" customFormat="1" ht="12.75" x14ac:dyDescent="0.2">
      <c r="A162" s="15"/>
      <c r="B162" s="16"/>
      <c r="C162" s="16"/>
      <c r="D162" s="47" t="s">
        <v>194</v>
      </c>
      <c r="E162" s="12">
        <f t="shared" si="42"/>
        <v>218358</v>
      </c>
      <c r="F162" s="13">
        <v>218358</v>
      </c>
      <c r="G162" s="13"/>
      <c r="H162" s="13"/>
      <c r="I162" s="18"/>
      <c r="J162" s="12">
        <f t="shared" si="43"/>
        <v>0</v>
      </c>
      <c r="K162" s="13"/>
      <c r="L162" s="13"/>
      <c r="M162" s="42"/>
      <c r="N162" s="42"/>
      <c r="O162" s="45"/>
      <c r="P162" s="19">
        <f t="shared" si="35"/>
        <v>218358</v>
      </c>
    </row>
    <row r="163" spans="1:18" s="21" customFormat="1" ht="36" x14ac:dyDescent="0.2">
      <c r="A163" s="15" t="s">
        <v>120</v>
      </c>
      <c r="B163" s="16">
        <v>3104</v>
      </c>
      <c r="C163" s="16" t="s">
        <v>46</v>
      </c>
      <c r="D163" s="17" t="s">
        <v>8</v>
      </c>
      <c r="E163" s="12">
        <f>F163+I163</f>
        <v>20332300</v>
      </c>
      <c r="F163" s="13">
        <f>18892300+640000+640000+160000</f>
        <v>20332300</v>
      </c>
      <c r="G163" s="13">
        <v>12500000</v>
      </c>
      <c r="H163" s="13">
        <f>584900+23700+11200</f>
        <v>619800</v>
      </c>
      <c r="I163" s="18"/>
      <c r="J163" s="12">
        <f t="shared" si="43"/>
        <v>0</v>
      </c>
      <c r="K163" s="13"/>
      <c r="L163" s="13"/>
      <c r="M163" s="42"/>
      <c r="N163" s="42"/>
      <c r="O163" s="45"/>
      <c r="P163" s="19">
        <f t="shared" si="35"/>
        <v>20332300</v>
      </c>
    </row>
    <row r="164" spans="1:18" s="21" customFormat="1" ht="66" customHeight="1" x14ac:dyDescent="0.2">
      <c r="A164" s="15" t="s">
        <v>121</v>
      </c>
      <c r="B164" s="16" t="s">
        <v>96</v>
      </c>
      <c r="C164" s="16" t="s">
        <v>33</v>
      </c>
      <c r="D164" s="17" t="s">
        <v>507</v>
      </c>
      <c r="E164" s="12">
        <f t="shared" si="42"/>
        <v>9258700</v>
      </c>
      <c r="F164" s="13">
        <f>7737700+640000+30000+640000+51000+160000</f>
        <v>9258700</v>
      </c>
      <c r="G164" s="13">
        <v>5050000</v>
      </c>
      <c r="H164" s="13">
        <f>230000+1200</f>
        <v>231200</v>
      </c>
      <c r="I164" s="18"/>
      <c r="J164" s="12">
        <f>L164+O164</f>
        <v>0</v>
      </c>
      <c r="K164" s="13"/>
      <c r="L164" s="13"/>
      <c r="M164" s="42"/>
      <c r="N164" s="42"/>
      <c r="O164" s="45"/>
      <c r="P164" s="19">
        <f t="shared" si="35"/>
        <v>9258700</v>
      </c>
    </row>
    <row r="165" spans="1:18" s="21" customFormat="1" ht="12.75" x14ac:dyDescent="0.2">
      <c r="A165" s="15"/>
      <c r="B165" s="16"/>
      <c r="C165" s="16"/>
      <c r="D165" s="17" t="s">
        <v>314</v>
      </c>
      <c r="E165" s="12"/>
      <c r="F165" s="13"/>
      <c r="G165" s="13"/>
      <c r="H165" s="13"/>
      <c r="I165" s="18"/>
      <c r="J165" s="12"/>
      <c r="K165" s="13"/>
      <c r="L165" s="13"/>
      <c r="M165" s="42"/>
      <c r="N165" s="42"/>
      <c r="O165" s="45"/>
      <c r="P165" s="19">
        <f t="shared" si="35"/>
        <v>0</v>
      </c>
    </row>
    <row r="166" spans="1:18" s="21" customFormat="1" ht="12.75" x14ac:dyDescent="0.2">
      <c r="A166" s="15"/>
      <c r="B166" s="16"/>
      <c r="C166" s="16"/>
      <c r="D166" s="47" t="s">
        <v>394</v>
      </c>
      <c r="E166" s="12">
        <f t="shared" si="42"/>
        <v>2932000</v>
      </c>
      <c r="F166" s="13">
        <f>1622000+670000+640000</f>
        <v>2932000</v>
      </c>
      <c r="G166" s="13">
        <v>550000</v>
      </c>
      <c r="H166" s="13">
        <v>47500</v>
      </c>
      <c r="I166" s="18"/>
      <c r="J166" s="12">
        <f t="shared" si="43"/>
        <v>0</v>
      </c>
      <c r="K166" s="13"/>
      <c r="L166" s="13"/>
      <c r="M166" s="42"/>
      <c r="N166" s="42"/>
      <c r="O166" s="45"/>
      <c r="P166" s="19">
        <f t="shared" si="35"/>
        <v>2932000</v>
      </c>
    </row>
    <row r="167" spans="1:18" s="21" customFormat="1" ht="36" x14ac:dyDescent="0.2">
      <c r="A167" s="48" t="s">
        <v>558</v>
      </c>
      <c r="B167" s="49" t="s">
        <v>559</v>
      </c>
      <c r="C167" s="49" t="s">
        <v>21</v>
      </c>
      <c r="D167" s="50" t="s">
        <v>560</v>
      </c>
      <c r="E167" s="12">
        <f t="shared" si="42"/>
        <v>463308</v>
      </c>
      <c r="F167" s="13">
        <f>228308+130000+105000</f>
        <v>463308</v>
      </c>
      <c r="G167" s="13"/>
      <c r="H167" s="13"/>
      <c r="I167" s="18"/>
      <c r="J167" s="12"/>
      <c r="K167" s="13"/>
      <c r="L167" s="13"/>
      <c r="M167" s="42"/>
      <c r="N167" s="42"/>
      <c r="O167" s="45"/>
      <c r="P167" s="19">
        <f t="shared" si="35"/>
        <v>463308</v>
      </c>
    </row>
    <row r="168" spans="1:18" s="21" customFormat="1" ht="72" x14ac:dyDescent="0.2">
      <c r="A168" s="15" t="s">
        <v>240</v>
      </c>
      <c r="B168" s="16" t="s">
        <v>236</v>
      </c>
      <c r="C168" s="16" t="s">
        <v>23</v>
      </c>
      <c r="D168" s="17" t="s">
        <v>237</v>
      </c>
      <c r="E168" s="12">
        <f t="shared" si="42"/>
        <v>0</v>
      </c>
      <c r="F168" s="13"/>
      <c r="G168" s="13"/>
      <c r="H168" s="13"/>
      <c r="I168" s="18"/>
      <c r="J168" s="12">
        <f t="shared" si="43"/>
        <v>1000000</v>
      </c>
      <c r="K168" s="13"/>
      <c r="L168" s="13">
        <v>1000000</v>
      </c>
      <c r="M168" s="42"/>
      <c r="N168" s="42"/>
      <c r="O168" s="45"/>
      <c r="P168" s="19">
        <f t="shared" si="35"/>
        <v>1000000</v>
      </c>
    </row>
    <row r="169" spans="1:18" s="6" customFormat="1" ht="25.5" x14ac:dyDescent="0.2">
      <c r="A169" s="28" t="s">
        <v>104</v>
      </c>
      <c r="B169" s="7"/>
      <c r="C169" s="7"/>
      <c r="D169" s="8" t="s">
        <v>281</v>
      </c>
      <c r="E169" s="9">
        <f>E171+E176+E173+E172</f>
        <v>7740000</v>
      </c>
      <c r="F169" s="10">
        <f>F171+F176+F173+F172</f>
        <v>7740000</v>
      </c>
      <c r="G169" s="10">
        <f t="shared" ref="G169:I169" si="46">G171+G176+G173</f>
        <v>5650000</v>
      </c>
      <c r="H169" s="10">
        <f t="shared" si="46"/>
        <v>169000</v>
      </c>
      <c r="I169" s="11">
        <f t="shared" si="46"/>
        <v>0</v>
      </c>
      <c r="J169" s="9">
        <f>L169+O169</f>
        <v>1000000</v>
      </c>
      <c r="K169" s="10">
        <f>SUM(K171:K176)</f>
        <v>0</v>
      </c>
      <c r="L169" s="10">
        <f>SUM(L171:L176)</f>
        <v>1000000</v>
      </c>
      <c r="M169" s="39">
        <f t="shared" ref="M169:N169" si="47">SUM(M171:M176)</f>
        <v>0</v>
      </c>
      <c r="N169" s="39">
        <f t="shared" si="47"/>
        <v>0</v>
      </c>
      <c r="O169" s="40">
        <f>SUM(O171:O176)</f>
        <v>0</v>
      </c>
      <c r="P169" s="14">
        <f t="shared" si="35"/>
        <v>8740000</v>
      </c>
    </row>
    <row r="170" spans="1:18" s="6" customFormat="1" ht="25.5" x14ac:dyDescent="0.2">
      <c r="A170" s="28" t="s">
        <v>134</v>
      </c>
      <c r="B170" s="7"/>
      <c r="C170" s="7"/>
      <c r="D170" s="8" t="s">
        <v>281</v>
      </c>
      <c r="E170" s="9"/>
      <c r="F170" s="10"/>
      <c r="G170" s="51"/>
      <c r="H170" s="51"/>
      <c r="I170" s="52"/>
      <c r="J170" s="41"/>
      <c r="K170" s="42"/>
      <c r="L170" s="39"/>
      <c r="M170" s="39"/>
      <c r="N170" s="39"/>
      <c r="O170" s="40"/>
      <c r="P170" s="19">
        <f t="shared" si="35"/>
        <v>0</v>
      </c>
    </row>
    <row r="171" spans="1:18" s="21" customFormat="1" ht="24" x14ac:dyDescent="0.2">
      <c r="A171" s="15" t="s">
        <v>135</v>
      </c>
      <c r="B171" s="16" t="s">
        <v>56</v>
      </c>
      <c r="C171" s="16" t="s">
        <v>20</v>
      </c>
      <c r="D171" s="17" t="s">
        <v>397</v>
      </c>
      <c r="E171" s="12">
        <f>F171+I171</f>
        <v>6380000</v>
      </c>
      <c r="F171" s="13">
        <f>6400000-20000</f>
        <v>6380000</v>
      </c>
      <c r="G171" s="13">
        <v>5000000</v>
      </c>
      <c r="H171" s="13">
        <v>73000</v>
      </c>
      <c r="I171" s="53"/>
      <c r="J171" s="41">
        <f t="shared" si="43"/>
        <v>0</v>
      </c>
      <c r="K171" s="42"/>
      <c r="L171" s="42"/>
      <c r="M171" s="42"/>
      <c r="N171" s="42"/>
      <c r="O171" s="45"/>
      <c r="P171" s="19">
        <f t="shared" si="35"/>
        <v>6380000</v>
      </c>
    </row>
    <row r="172" spans="1:18" s="21" customFormat="1" ht="12.75" x14ac:dyDescent="0.2">
      <c r="A172" s="15" t="s">
        <v>566</v>
      </c>
      <c r="B172" s="16" t="s">
        <v>56</v>
      </c>
      <c r="C172" s="16" t="s">
        <v>20</v>
      </c>
      <c r="D172" s="17" t="s">
        <v>288</v>
      </c>
      <c r="E172" s="12">
        <f>F172+I172</f>
        <v>20000</v>
      </c>
      <c r="F172" s="13">
        <f>20000</f>
        <v>20000</v>
      </c>
      <c r="G172" s="13"/>
      <c r="H172" s="13"/>
      <c r="I172" s="53"/>
      <c r="J172" s="41"/>
      <c r="K172" s="42"/>
      <c r="L172" s="42"/>
      <c r="M172" s="42"/>
      <c r="N172" s="42"/>
      <c r="O172" s="45"/>
      <c r="P172" s="19">
        <f t="shared" si="35"/>
        <v>20000</v>
      </c>
    </row>
    <row r="173" spans="1:18" s="21" customFormat="1" ht="42.75" customHeight="1" x14ac:dyDescent="0.2">
      <c r="A173" s="15" t="s">
        <v>393</v>
      </c>
      <c r="B173" s="16" t="s">
        <v>216</v>
      </c>
      <c r="C173" s="16" t="s">
        <v>47</v>
      </c>
      <c r="D173" s="17" t="s">
        <v>509</v>
      </c>
      <c r="E173" s="12">
        <f>F173+I173</f>
        <v>1340000</v>
      </c>
      <c r="F173" s="13">
        <f>F175</f>
        <v>1340000</v>
      </c>
      <c r="G173" s="13">
        <f t="shared" ref="G173:H173" si="48">G175</f>
        <v>650000</v>
      </c>
      <c r="H173" s="13">
        <f t="shared" si="48"/>
        <v>96000</v>
      </c>
      <c r="I173" s="53"/>
      <c r="J173" s="41">
        <f>L173+O173</f>
        <v>0</v>
      </c>
      <c r="K173" s="42"/>
      <c r="L173" s="42">
        <v>0</v>
      </c>
      <c r="M173" s="42">
        <v>0</v>
      </c>
      <c r="N173" s="42">
        <v>0</v>
      </c>
      <c r="O173" s="45"/>
      <c r="P173" s="19">
        <f t="shared" si="35"/>
        <v>1340000</v>
      </c>
      <c r="R173" s="29"/>
    </row>
    <row r="174" spans="1:18" s="21" customFormat="1" ht="12" customHeight="1" x14ac:dyDescent="0.2">
      <c r="A174" s="15"/>
      <c r="B174" s="16"/>
      <c r="C174" s="16"/>
      <c r="D174" s="17" t="s">
        <v>314</v>
      </c>
      <c r="E174" s="12"/>
      <c r="F174" s="13"/>
      <c r="G174" s="13"/>
      <c r="H174" s="13"/>
      <c r="I174" s="53"/>
      <c r="J174" s="41"/>
      <c r="K174" s="42"/>
      <c r="L174" s="42"/>
      <c r="M174" s="42"/>
      <c r="N174" s="42"/>
      <c r="O174" s="45"/>
      <c r="P174" s="19"/>
      <c r="R174" s="29"/>
    </row>
    <row r="175" spans="1:18" s="21" customFormat="1" ht="20.25" customHeight="1" x14ac:dyDescent="0.2">
      <c r="A175" s="15"/>
      <c r="B175" s="16"/>
      <c r="C175" s="16"/>
      <c r="D175" s="17" t="s">
        <v>437</v>
      </c>
      <c r="E175" s="12">
        <f>F175+I175</f>
        <v>1340000</v>
      </c>
      <c r="F175" s="13">
        <v>1340000</v>
      </c>
      <c r="G175" s="13">
        <v>650000</v>
      </c>
      <c r="H175" s="13">
        <f>47000+49000</f>
        <v>96000</v>
      </c>
      <c r="I175" s="53"/>
      <c r="J175" s="41"/>
      <c r="K175" s="42"/>
      <c r="L175" s="42"/>
      <c r="M175" s="42"/>
      <c r="N175" s="42"/>
      <c r="O175" s="45"/>
      <c r="P175" s="19">
        <f t="shared" si="35"/>
        <v>1340000</v>
      </c>
      <c r="R175" s="29"/>
    </row>
    <row r="176" spans="1:18" s="21" customFormat="1" ht="72" x14ac:dyDescent="0.2">
      <c r="A176" s="15" t="s">
        <v>241</v>
      </c>
      <c r="B176" s="16" t="s">
        <v>236</v>
      </c>
      <c r="C176" s="16" t="s">
        <v>23</v>
      </c>
      <c r="D176" s="17" t="s">
        <v>237</v>
      </c>
      <c r="E176" s="54">
        <f>F176+I176</f>
        <v>0</v>
      </c>
      <c r="F176" s="55"/>
      <c r="G176" s="55"/>
      <c r="H176" s="55"/>
      <c r="I176" s="53"/>
      <c r="J176" s="12">
        <f>L176+O176</f>
        <v>1000000</v>
      </c>
      <c r="K176" s="13"/>
      <c r="L176" s="13">
        <v>1000000</v>
      </c>
      <c r="M176" s="13"/>
      <c r="N176" s="42"/>
      <c r="O176" s="45"/>
      <c r="P176" s="19">
        <f t="shared" si="35"/>
        <v>1000000</v>
      </c>
    </row>
    <row r="177" spans="1:17" s="6" customFormat="1" ht="12.75" x14ac:dyDescent="0.2">
      <c r="A177" s="28" t="s">
        <v>105</v>
      </c>
      <c r="B177" s="7"/>
      <c r="C177" s="7"/>
      <c r="D177" s="8" t="s">
        <v>279</v>
      </c>
      <c r="E177" s="9">
        <f>E179+E180+E181+E183+E184+E188+E189+E192+E182</f>
        <v>164229500</v>
      </c>
      <c r="F177" s="10">
        <f>F179+F180+F181+F183+F184+F188+F189+F192+F182</f>
        <v>164229500</v>
      </c>
      <c r="G177" s="10">
        <f>G179+G180+G181+G183+G184+G188+G189+G192+G182</f>
        <v>104291700</v>
      </c>
      <c r="H177" s="10">
        <f>H179+H180+H181+H183+H184+H188+H189+H192+H182</f>
        <v>10675000</v>
      </c>
      <c r="I177" s="11">
        <f t="shared" ref="I177" si="49">I179+I180+I181+I183+I184+I188+I189+I192+I182</f>
        <v>0</v>
      </c>
      <c r="J177" s="9">
        <f>SUM(J179:J192)</f>
        <v>6976666</v>
      </c>
      <c r="K177" s="10">
        <f>SUM(K179:K192)</f>
        <v>771666</v>
      </c>
      <c r="L177" s="10">
        <f>SUM(L179:L192)</f>
        <v>5905000</v>
      </c>
      <c r="M177" s="10">
        <f t="shared" ref="M177:O177" si="50">SUM(M179:M192)</f>
        <v>2661700</v>
      </c>
      <c r="N177" s="10">
        <f t="shared" si="50"/>
        <v>146000</v>
      </c>
      <c r="O177" s="11">
        <f t="shared" si="50"/>
        <v>1071666</v>
      </c>
      <c r="P177" s="14">
        <f t="shared" si="35"/>
        <v>171206166</v>
      </c>
      <c r="Q177" s="29"/>
    </row>
    <row r="178" spans="1:17" s="6" customFormat="1" ht="12.75" x14ac:dyDescent="0.2">
      <c r="A178" s="28" t="s">
        <v>136</v>
      </c>
      <c r="B178" s="7"/>
      <c r="C178" s="7"/>
      <c r="D178" s="8" t="s">
        <v>279</v>
      </c>
      <c r="E178" s="9"/>
      <c r="F178" s="10"/>
      <c r="G178" s="10"/>
      <c r="H178" s="10"/>
      <c r="I178" s="52"/>
      <c r="J178" s="12"/>
      <c r="K178" s="13"/>
      <c r="L178" s="10"/>
      <c r="M178" s="10"/>
      <c r="N178" s="10"/>
      <c r="O178" s="11"/>
      <c r="P178" s="14">
        <f t="shared" si="35"/>
        <v>0</v>
      </c>
    </row>
    <row r="179" spans="1:17" s="21" customFormat="1" ht="24" x14ac:dyDescent="0.2">
      <c r="A179" s="15" t="s">
        <v>137</v>
      </c>
      <c r="B179" s="16" t="s">
        <v>56</v>
      </c>
      <c r="C179" s="16" t="s">
        <v>20</v>
      </c>
      <c r="D179" s="17" t="s">
        <v>372</v>
      </c>
      <c r="E179" s="12">
        <f>F179+I179</f>
        <v>4200000</v>
      </c>
      <c r="F179" s="13">
        <v>4200000</v>
      </c>
      <c r="G179" s="13">
        <v>3100000</v>
      </c>
      <c r="H179" s="13">
        <v>175000</v>
      </c>
      <c r="I179" s="53"/>
      <c r="J179" s="12">
        <f>L179+O179</f>
        <v>0</v>
      </c>
      <c r="K179" s="13"/>
      <c r="L179" s="13"/>
      <c r="M179" s="13"/>
      <c r="N179" s="13"/>
      <c r="O179" s="18"/>
      <c r="P179" s="19">
        <f t="shared" si="35"/>
        <v>4200000</v>
      </c>
      <c r="Q179" s="20"/>
    </row>
    <row r="180" spans="1:17" s="21" customFormat="1" ht="12" x14ac:dyDescent="0.2">
      <c r="A180" s="15" t="s">
        <v>329</v>
      </c>
      <c r="B180" s="16" t="s">
        <v>330</v>
      </c>
      <c r="C180" s="16" t="s">
        <v>30</v>
      </c>
      <c r="D180" s="17" t="s">
        <v>392</v>
      </c>
      <c r="E180" s="12">
        <f>F180+I180</f>
        <v>85378500</v>
      </c>
      <c r="F180" s="13">
        <f>82890000+2466500+7000+15000</f>
        <v>85378500</v>
      </c>
      <c r="G180" s="13">
        <f>64300000+2021700</f>
        <v>66321700</v>
      </c>
      <c r="H180" s="13">
        <v>3375000</v>
      </c>
      <c r="I180" s="53"/>
      <c r="J180" s="12">
        <f>L180+O180</f>
        <v>3663216</v>
      </c>
      <c r="K180" s="13">
        <f>163216</f>
        <v>163216</v>
      </c>
      <c r="L180" s="13">
        <v>3500000</v>
      </c>
      <c r="M180" s="13">
        <v>2610700</v>
      </c>
      <c r="N180" s="13">
        <v>140000</v>
      </c>
      <c r="O180" s="18">
        <f>163216</f>
        <v>163216</v>
      </c>
      <c r="P180" s="19">
        <f t="shared" si="35"/>
        <v>89041716</v>
      </c>
      <c r="Q180" s="25"/>
    </row>
    <row r="181" spans="1:17" s="21" customFormat="1" ht="12" x14ac:dyDescent="0.2">
      <c r="A181" s="15" t="s">
        <v>138</v>
      </c>
      <c r="B181" s="16" t="s">
        <v>66</v>
      </c>
      <c r="C181" s="16" t="s">
        <v>48</v>
      </c>
      <c r="D181" s="17" t="s">
        <v>67</v>
      </c>
      <c r="E181" s="12">
        <f t="shared" ref="E181:E194" si="51">F181+I181</f>
        <v>3500000</v>
      </c>
      <c r="F181" s="13">
        <v>3500000</v>
      </c>
      <c r="G181" s="13"/>
      <c r="H181" s="13"/>
      <c r="I181" s="53"/>
      <c r="J181" s="12">
        <f>L181+O181</f>
        <v>0</v>
      </c>
      <c r="K181" s="13"/>
      <c r="L181" s="13"/>
      <c r="M181" s="13"/>
      <c r="N181" s="13"/>
      <c r="O181" s="18"/>
      <c r="P181" s="19">
        <f t="shared" si="35"/>
        <v>3500000</v>
      </c>
      <c r="Q181" s="46"/>
    </row>
    <row r="182" spans="1:17" s="21" customFormat="1" ht="24" x14ac:dyDescent="0.2">
      <c r="A182" s="15" t="s">
        <v>268</v>
      </c>
      <c r="B182" s="16" t="s">
        <v>269</v>
      </c>
      <c r="C182" s="16" t="s">
        <v>270</v>
      </c>
      <c r="D182" s="17" t="s">
        <v>271</v>
      </c>
      <c r="E182" s="12">
        <f t="shared" si="51"/>
        <v>8536000</v>
      </c>
      <c r="F182" s="13">
        <f>8500000+5000+31000</f>
        <v>8536000</v>
      </c>
      <c r="G182" s="13"/>
      <c r="H182" s="13"/>
      <c r="I182" s="53"/>
      <c r="J182" s="12">
        <f>L182+O182</f>
        <v>0</v>
      </c>
      <c r="K182" s="13"/>
      <c r="L182" s="13"/>
      <c r="M182" s="13"/>
      <c r="N182" s="13"/>
      <c r="O182" s="18"/>
      <c r="P182" s="19">
        <f t="shared" si="35"/>
        <v>8536000</v>
      </c>
    </row>
    <row r="183" spans="1:17" s="21" customFormat="1" ht="12" x14ac:dyDescent="0.2">
      <c r="A183" s="15" t="s">
        <v>139</v>
      </c>
      <c r="B183" s="16" t="s">
        <v>68</v>
      </c>
      <c r="C183" s="16" t="s">
        <v>39</v>
      </c>
      <c r="D183" s="17" t="s">
        <v>69</v>
      </c>
      <c r="E183" s="12">
        <f t="shared" si="51"/>
        <v>18444000</v>
      </c>
      <c r="F183" s="13">
        <f>18485000-92800+30000+1800+20000</f>
        <v>18444000</v>
      </c>
      <c r="G183" s="13">
        <v>12570000</v>
      </c>
      <c r="H183" s="13">
        <v>2150000</v>
      </c>
      <c r="I183" s="53"/>
      <c r="J183" s="12">
        <f t="shared" si="43"/>
        <v>458450</v>
      </c>
      <c r="K183" s="13">
        <f>358000+90450</f>
        <v>448450</v>
      </c>
      <c r="L183" s="13">
        <v>10000</v>
      </c>
      <c r="M183" s="13"/>
      <c r="N183" s="13"/>
      <c r="O183" s="18">
        <f>358000+90450</f>
        <v>448450</v>
      </c>
      <c r="P183" s="19">
        <f t="shared" si="35"/>
        <v>18902450</v>
      </c>
    </row>
    <row r="184" spans="1:17" s="21" customFormat="1" ht="24" x14ac:dyDescent="0.2">
      <c r="A184" s="15" t="s">
        <v>140</v>
      </c>
      <c r="B184" s="16" t="s">
        <v>38</v>
      </c>
      <c r="C184" s="16" t="s">
        <v>40</v>
      </c>
      <c r="D184" s="17" t="s">
        <v>70</v>
      </c>
      <c r="E184" s="12">
        <f t="shared" si="51"/>
        <v>35988000</v>
      </c>
      <c r="F184" s="13">
        <f>34900000+15000+30000+50000+15000+40000+15000+100000+100000+180000+80000+25000+418000+20000</f>
        <v>35988000</v>
      </c>
      <c r="G184" s="13">
        <v>19500000</v>
      </c>
      <c r="H184" s="13">
        <v>4835000</v>
      </c>
      <c r="I184" s="53"/>
      <c r="J184" s="12">
        <f t="shared" si="43"/>
        <v>255000</v>
      </c>
      <c r="K184" s="13">
        <f>160000</f>
        <v>160000</v>
      </c>
      <c r="L184" s="13">
        <v>95000</v>
      </c>
      <c r="M184" s="13">
        <v>51000</v>
      </c>
      <c r="N184" s="13">
        <v>6000</v>
      </c>
      <c r="O184" s="18">
        <f>160000</f>
        <v>160000</v>
      </c>
      <c r="P184" s="19">
        <f t="shared" ref="P184:P279" si="52">E184+J184</f>
        <v>36243000</v>
      </c>
    </row>
    <row r="185" spans="1:17" s="21" customFormat="1" ht="12" x14ac:dyDescent="0.2">
      <c r="A185" s="15"/>
      <c r="B185" s="16"/>
      <c r="C185" s="16"/>
      <c r="D185" s="17" t="s">
        <v>261</v>
      </c>
      <c r="E185" s="12"/>
      <c r="F185" s="13"/>
      <c r="G185" s="13"/>
      <c r="H185" s="13"/>
      <c r="I185" s="53"/>
      <c r="J185" s="12"/>
      <c r="K185" s="13"/>
      <c r="L185" s="13"/>
      <c r="M185" s="13"/>
      <c r="N185" s="13"/>
      <c r="O185" s="18"/>
      <c r="P185" s="19"/>
    </row>
    <row r="186" spans="1:17" s="21" customFormat="1" ht="15.6" customHeight="1" x14ac:dyDescent="0.2">
      <c r="A186" s="15"/>
      <c r="B186" s="16"/>
      <c r="C186" s="16"/>
      <c r="D186" s="17" t="s">
        <v>583</v>
      </c>
      <c r="E186" s="12">
        <f t="shared" si="51"/>
        <v>5000000</v>
      </c>
      <c r="F186" s="13">
        <v>5000000</v>
      </c>
      <c r="G186" s="13"/>
      <c r="H186" s="13"/>
      <c r="I186" s="53"/>
      <c r="J186" s="12"/>
      <c r="K186" s="13"/>
      <c r="L186" s="13"/>
      <c r="M186" s="13"/>
      <c r="N186" s="13"/>
      <c r="O186" s="18"/>
      <c r="P186" s="19">
        <f t="shared" si="52"/>
        <v>5000000</v>
      </c>
    </row>
    <row r="187" spans="1:17" s="21" customFormat="1" ht="30" customHeight="1" x14ac:dyDescent="0.2">
      <c r="A187" s="15"/>
      <c r="B187" s="16"/>
      <c r="C187" s="16"/>
      <c r="D187" s="31" t="s">
        <v>584</v>
      </c>
      <c r="E187" s="12">
        <f>F187+I187</f>
        <v>20000</v>
      </c>
      <c r="F187" s="13">
        <v>20000</v>
      </c>
      <c r="G187" s="13"/>
      <c r="H187" s="13"/>
      <c r="I187" s="53"/>
      <c r="J187" s="12"/>
      <c r="K187" s="13"/>
      <c r="L187" s="13"/>
      <c r="M187" s="13"/>
      <c r="N187" s="13"/>
      <c r="O187" s="18"/>
      <c r="P187" s="19">
        <f>E187+J187</f>
        <v>20000</v>
      </c>
    </row>
    <row r="188" spans="1:17" s="21" customFormat="1" ht="24" x14ac:dyDescent="0.2">
      <c r="A188" s="15" t="s">
        <v>230</v>
      </c>
      <c r="B188" s="16" t="s">
        <v>229</v>
      </c>
      <c r="C188" s="16" t="s">
        <v>41</v>
      </c>
      <c r="D188" s="17" t="s">
        <v>231</v>
      </c>
      <c r="E188" s="12">
        <f t="shared" si="51"/>
        <v>4183000</v>
      </c>
      <c r="F188" s="13">
        <f>4075000+100000+8000</f>
        <v>4183000</v>
      </c>
      <c r="G188" s="13">
        <v>2800000</v>
      </c>
      <c r="H188" s="13">
        <v>140000</v>
      </c>
      <c r="I188" s="53"/>
      <c r="J188" s="12">
        <f t="shared" si="43"/>
        <v>0</v>
      </c>
      <c r="K188" s="13"/>
      <c r="L188" s="13"/>
      <c r="M188" s="13"/>
      <c r="N188" s="13"/>
      <c r="O188" s="18"/>
      <c r="P188" s="19">
        <f t="shared" si="52"/>
        <v>4183000</v>
      </c>
    </row>
    <row r="189" spans="1:17" s="21" customFormat="1" ht="12" x14ac:dyDescent="0.2">
      <c r="A189" s="15" t="s">
        <v>232</v>
      </c>
      <c r="B189" s="16" t="s">
        <v>233</v>
      </c>
      <c r="C189" s="16" t="s">
        <v>41</v>
      </c>
      <c r="D189" s="17" t="s">
        <v>234</v>
      </c>
      <c r="E189" s="12">
        <f t="shared" si="51"/>
        <v>4000000</v>
      </c>
      <c r="F189" s="13">
        <v>4000000</v>
      </c>
      <c r="G189" s="56"/>
      <c r="H189" s="56"/>
      <c r="I189" s="53"/>
      <c r="J189" s="12">
        <f>L189+O189</f>
        <v>0</v>
      </c>
      <c r="K189" s="13"/>
      <c r="L189" s="13"/>
      <c r="M189" s="13"/>
      <c r="N189" s="13"/>
      <c r="O189" s="18"/>
      <c r="P189" s="19">
        <f t="shared" si="52"/>
        <v>4000000</v>
      </c>
    </row>
    <row r="190" spans="1:17" s="21" customFormat="1" ht="12" hidden="1" x14ac:dyDescent="0.2">
      <c r="A190" s="15"/>
      <c r="B190" s="16"/>
      <c r="C190" s="16"/>
      <c r="D190" s="23" t="s">
        <v>175</v>
      </c>
      <c r="E190" s="12"/>
      <c r="F190" s="13"/>
      <c r="G190" s="56"/>
      <c r="H190" s="56"/>
      <c r="I190" s="53"/>
      <c r="J190" s="12"/>
      <c r="K190" s="13"/>
      <c r="L190" s="13"/>
      <c r="M190" s="13"/>
      <c r="N190" s="13"/>
      <c r="O190" s="18"/>
      <c r="P190" s="19">
        <f t="shared" si="52"/>
        <v>0</v>
      </c>
    </row>
    <row r="191" spans="1:17" s="21" customFormat="1" ht="24" hidden="1" x14ac:dyDescent="0.2">
      <c r="A191" s="15"/>
      <c r="B191" s="16"/>
      <c r="C191" s="16"/>
      <c r="D191" s="23" t="s">
        <v>274</v>
      </c>
      <c r="E191" s="12">
        <f t="shared" si="51"/>
        <v>0</v>
      </c>
      <c r="F191" s="13"/>
      <c r="G191" s="56"/>
      <c r="H191" s="56"/>
      <c r="I191" s="53"/>
      <c r="J191" s="12"/>
      <c r="K191" s="13"/>
      <c r="L191" s="13"/>
      <c r="M191" s="13"/>
      <c r="N191" s="13"/>
      <c r="O191" s="18"/>
      <c r="P191" s="19">
        <f t="shared" si="52"/>
        <v>0</v>
      </c>
    </row>
    <row r="192" spans="1:17" s="21" customFormat="1" ht="72" x14ac:dyDescent="0.2">
      <c r="A192" s="15" t="s">
        <v>235</v>
      </c>
      <c r="B192" s="16" t="s">
        <v>236</v>
      </c>
      <c r="C192" s="16" t="s">
        <v>23</v>
      </c>
      <c r="D192" s="17" t="s">
        <v>237</v>
      </c>
      <c r="E192" s="57">
        <f t="shared" si="51"/>
        <v>0</v>
      </c>
      <c r="F192" s="58"/>
      <c r="G192" s="56"/>
      <c r="H192" s="56"/>
      <c r="I192" s="53"/>
      <c r="J192" s="12">
        <f>L192+O192</f>
        <v>2600000</v>
      </c>
      <c r="K192" s="13"/>
      <c r="L192" s="13">
        <v>2300000</v>
      </c>
      <c r="M192" s="13"/>
      <c r="N192" s="13"/>
      <c r="O192" s="18">
        <v>300000</v>
      </c>
      <c r="P192" s="19">
        <f t="shared" si="52"/>
        <v>2600000</v>
      </c>
    </row>
    <row r="193" spans="1:17" s="6" customFormat="1" ht="38.25" x14ac:dyDescent="0.2">
      <c r="A193" s="59">
        <v>1100000</v>
      </c>
      <c r="B193" s="7"/>
      <c r="C193" s="7"/>
      <c r="D193" s="8" t="s">
        <v>485</v>
      </c>
      <c r="E193" s="9">
        <f>F193+I193</f>
        <v>69582315</v>
      </c>
      <c r="F193" s="10">
        <f>F195+F197+F202+F203+F204+F205+F208+F209+F206+F200+F198+F207+F201+F196</f>
        <v>69582315</v>
      </c>
      <c r="G193" s="10">
        <f t="shared" ref="G193:O193" si="53">G195+G197+G202+G203+G204+G205+G208+G209+G206+G200+G198+G207</f>
        <v>9897600</v>
      </c>
      <c r="H193" s="10">
        <f t="shared" si="53"/>
        <v>348600</v>
      </c>
      <c r="I193" s="11">
        <f t="shared" si="53"/>
        <v>0</v>
      </c>
      <c r="J193" s="9">
        <f t="shared" si="53"/>
        <v>0</v>
      </c>
      <c r="K193" s="10">
        <f t="shared" si="53"/>
        <v>0</v>
      </c>
      <c r="L193" s="10">
        <f t="shared" si="53"/>
        <v>0</v>
      </c>
      <c r="M193" s="10">
        <f t="shared" si="53"/>
        <v>0</v>
      </c>
      <c r="N193" s="10">
        <f t="shared" si="53"/>
        <v>0</v>
      </c>
      <c r="O193" s="11">
        <f t="shared" si="53"/>
        <v>0</v>
      </c>
      <c r="P193" s="14">
        <f>E193+J193</f>
        <v>69582315</v>
      </c>
      <c r="Q193" s="29"/>
    </row>
    <row r="194" spans="1:17" s="6" customFormat="1" ht="38.25" x14ac:dyDescent="0.2">
      <c r="A194" s="59">
        <v>1110000</v>
      </c>
      <c r="B194" s="7"/>
      <c r="C194" s="7"/>
      <c r="D194" s="8" t="s">
        <v>485</v>
      </c>
      <c r="E194" s="12">
        <f t="shared" si="51"/>
        <v>0</v>
      </c>
      <c r="F194" s="10"/>
      <c r="G194" s="10"/>
      <c r="H194" s="10"/>
      <c r="I194" s="11"/>
      <c r="J194" s="12"/>
      <c r="K194" s="13"/>
      <c r="L194" s="10"/>
      <c r="M194" s="10"/>
      <c r="N194" s="10"/>
      <c r="O194" s="11"/>
      <c r="P194" s="14">
        <f t="shared" si="52"/>
        <v>0</v>
      </c>
    </row>
    <row r="195" spans="1:17" s="21" customFormat="1" ht="24" x14ac:dyDescent="0.2">
      <c r="A195" s="54">
        <v>1110160</v>
      </c>
      <c r="B195" s="16" t="s">
        <v>56</v>
      </c>
      <c r="C195" s="16" t="s">
        <v>20</v>
      </c>
      <c r="D195" s="17" t="s">
        <v>397</v>
      </c>
      <c r="E195" s="12">
        <f>F195+I195</f>
        <v>8070000</v>
      </c>
      <c r="F195" s="13">
        <v>8070000</v>
      </c>
      <c r="G195" s="13">
        <f>3100000+3300000</f>
        <v>6400000</v>
      </c>
      <c r="H195" s="13">
        <v>92000</v>
      </c>
      <c r="I195" s="18"/>
      <c r="J195" s="12">
        <f t="shared" ref="J195:J209" si="54">L195+O195</f>
        <v>0</v>
      </c>
      <c r="K195" s="13"/>
      <c r="L195" s="13"/>
      <c r="M195" s="13"/>
      <c r="N195" s="13"/>
      <c r="O195" s="18"/>
      <c r="P195" s="19">
        <f t="shared" si="52"/>
        <v>8070000</v>
      </c>
    </row>
    <row r="196" spans="1:17" s="21" customFormat="1" ht="27.6" customHeight="1" x14ac:dyDescent="0.2">
      <c r="A196" s="15" t="s">
        <v>580</v>
      </c>
      <c r="B196" s="16" t="s">
        <v>13</v>
      </c>
      <c r="C196" s="16" t="s">
        <v>14</v>
      </c>
      <c r="D196" s="17" t="s">
        <v>150</v>
      </c>
      <c r="E196" s="12">
        <f>F196+I196</f>
        <v>221000</v>
      </c>
      <c r="F196" s="13">
        <f>74000+100000+47000</f>
        <v>221000</v>
      </c>
      <c r="G196" s="13"/>
      <c r="H196" s="13"/>
      <c r="I196" s="18"/>
      <c r="J196" s="12"/>
      <c r="K196" s="13"/>
      <c r="L196" s="13"/>
      <c r="M196" s="13"/>
      <c r="N196" s="13"/>
      <c r="O196" s="18"/>
      <c r="P196" s="19">
        <f t="shared" si="52"/>
        <v>221000</v>
      </c>
    </row>
    <row r="197" spans="1:17" s="21" customFormat="1" ht="24" x14ac:dyDescent="0.2">
      <c r="A197" s="54">
        <v>1113131</v>
      </c>
      <c r="B197" s="16" t="s">
        <v>57</v>
      </c>
      <c r="C197" s="16" t="s">
        <v>33</v>
      </c>
      <c r="D197" s="60" t="s">
        <v>58</v>
      </c>
      <c r="E197" s="12">
        <f t="shared" ref="E197:E208" si="55">F197</f>
        <v>4551000</v>
      </c>
      <c r="F197" s="13">
        <f>4890000-420000+30000+51000</f>
        <v>4551000</v>
      </c>
      <c r="G197" s="13"/>
      <c r="H197" s="13"/>
      <c r="I197" s="45"/>
      <c r="J197" s="41">
        <f t="shared" si="54"/>
        <v>0</v>
      </c>
      <c r="K197" s="42"/>
      <c r="L197" s="42"/>
      <c r="M197" s="42"/>
      <c r="N197" s="42"/>
      <c r="O197" s="45"/>
      <c r="P197" s="61">
        <f t="shared" si="52"/>
        <v>4551000</v>
      </c>
    </row>
    <row r="198" spans="1:17" s="21" customFormat="1" ht="40.5" customHeight="1" x14ac:dyDescent="0.2">
      <c r="A198" s="54">
        <v>1113133</v>
      </c>
      <c r="B198" s="16" t="s">
        <v>422</v>
      </c>
      <c r="C198" s="16" t="s">
        <v>47</v>
      </c>
      <c r="D198" s="60" t="s">
        <v>508</v>
      </c>
      <c r="E198" s="12">
        <f t="shared" si="55"/>
        <v>1952600</v>
      </c>
      <c r="F198" s="13">
        <v>1952600</v>
      </c>
      <c r="G198" s="13">
        <v>1160000</v>
      </c>
      <c r="H198" s="13">
        <f>92600+30000</f>
        <v>122600</v>
      </c>
      <c r="I198" s="45"/>
      <c r="J198" s="41"/>
      <c r="K198" s="42"/>
      <c r="L198" s="42"/>
      <c r="M198" s="42"/>
      <c r="N198" s="42"/>
      <c r="O198" s="45"/>
      <c r="P198" s="61">
        <f t="shared" si="52"/>
        <v>1952600</v>
      </c>
    </row>
    <row r="199" spans="1:17" s="21" customFormat="1" ht="16.5" customHeight="1" x14ac:dyDescent="0.2">
      <c r="A199" s="54"/>
      <c r="B199" s="16"/>
      <c r="C199" s="16"/>
      <c r="D199" s="60" t="s">
        <v>425</v>
      </c>
      <c r="E199" s="12">
        <f t="shared" si="55"/>
        <v>1952600</v>
      </c>
      <c r="F199" s="13">
        <v>1952600</v>
      </c>
      <c r="G199" s="13">
        <v>1160000</v>
      </c>
      <c r="H199" s="13">
        <f>92600+30000</f>
        <v>122600</v>
      </c>
      <c r="I199" s="45"/>
      <c r="J199" s="41"/>
      <c r="K199" s="42"/>
      <c r="L199" s="42"/>
      <c r="M199" s="42"/>
      <c r="N199" s="42"/>
      <c r="O199" s="45"/>
      <c r="P199" s="61">
        <f t="shared" si="52"/>
        <v>1952600</v>
      </c>
    </row>
    <row r="200" spans="1:17" s="21" customFormat="1" ht="36" x14ac:dyDescent="0.2">
      <c r="A200" s="54">
        <v>1113140</v>
      </c>
      <c r="B200" s="16" t="s">
        <v>80</v>
      </c>
      <c r="C200" s="16" t="s">
        <v>33</v>
      </c>
      <c r="D200" s="34" t="s">
        <v>81</v>
      </c>
      <c r="E200" s="12">
        <f t="shared" si="55"/>
        <v>1500000</v>
      </c>
      <c r="F200" s="13">
        <v>1500000</v>
      </c>
      <c r="G200" s="13"/>
      <c r="H200" s="13"/>
      <c r="I200" s="45"/>
      <c r="J200" s="41"/>
      <c r="K200" s="42"/>
      <c r="L200" s="42"/>
      <c r="M200" s="42"/>
      <c r="N200" s="42"/>
      <c r="O200" s="45">
        <v>0</v>
      </c>
      <c r="P200" s="61">
        <f t="shared" si="52"/>
        <v>1500000</v>
      </c>
    </row>
    <row r="201" spans="1:17" s="21" customFormat="1" ht="36" x14ac:dyDescent="0.2">
      <c r="A201" s="15" t="s">
        <v>487</v>
      </c>
      <c r="B201" s="16" t="s">
        <v>400</v>
      </c>
      <c r="C201" s="16" t="s">
        <v>21</v>
      </c>
      <c r="D201" s="17" t="s">
        <v>401</v>
      </c>
      <c r="E201" s="12">
        <f t="shared" si="55"/>
        <v>149000</v>
      </c>
      <c r="F201" s="13">
        <f>200000-51000</f>
        <v>149000</v>
      </c>
      <c r="G201" s="13"/>
      <c r="H201" s="13"/>
      <c r="I201" s="45"/>
      <c r="J201" s="41"/>
      <c r="K201" s="42"/>
      <c r="L201" s="42"/>
      <c r="M201" s="42"/>
      <c r="N201" s="42"/>
      <c r="O201" s="45"/>
      <c r="P201" s="61">
        <f t="shared" si="52"/>
        <v>149000</v>
      </c>
    </row>
    <row r="202" spans="1:17" s="21" customFormat="1" ht="24" x14ac:dyDescent="0.2">
      <c r="A202" s="54">
        <v>1115011</v>
      </c>
      <c r="B202" s="16" t="s">
        <v>36</v>
      </c>
      <c r="C202" s="16" t="s">
        <v>34</v>
      </c>
      <c r="D202" s="17" t="s">
        <v>35</v>
      </c>
      <c r="E202" s="12">
        <f t="shared" si="55"/>
        <v>2200000</v>
      </c>
      <c r="F202" s="13">
        <v>2200000</v>
      </c>
      <c r="G202" s="13"/>
      <c r="H202" s="13"/>
      <c r="I202" s="18"/>
      <c r="J202" s="12">
        <f t="shared" si="54"/>
        <v>0</v>
      </c>
      <c r="K202" s="13"/>
      <c r="L202" s="13"/>
      <c r="M202" s="13"/>
      <c r="N202" s="13"/>
      <c r="O202" s="18"/>
      <c r="P202" s="19">
        <f t="shared" si="52"/>
        <v>2200000</v>
      </c>
      <c r="Q202" s="20"/>
    </row>
    <row r="203" spans="1:17" s="21" customFormat="1" ht="24" x14ac:dyDescent="0.2">
      <c r="A203" s="54">
        <v>1115012</v>
      </c>
      <c r="B203" s="16" t="s">
        <v>55</v>
      </c>
      <c r="C203" s="16" t="s">
        <v>34</v>
      </c>
      <c r="D203" s="17" t="s">
        <v>54</v>
      </c>
      <c r="E203" s="12">
        <f t="shared" si="55"/>
        <v>1005000</v>
      </c>
      <c r="F203" s="13">
        <f>1000000+5000</f>
        <v>1005000</v>
      </c>
      <c r="G203" s="13"/>
      <c r="H203" s="13"/>
      <c r="I203" s="18"/>
      <c r="J203" s="12">
        <f t="shared" si="54"/>
        <v>0</v>
      </c>
      <c r="K203" s="13"/>
      <c r="L203" s="13"/>
      <c r="M203" s="13"/>
      <c r="N203" s="13"/>
      <c r="O203" s="18"/>
      <c r="P203" s="19">
        <f t="shared" si="52"/>
        <v>1005000</v>
      </c>
    </row>
    <row r="204" spans="1:17" s="21" customFormat="1" ht="36" x14ac:dyDescent="0.2">
      <c r="A204" s="54">
        <v>1115021</v>
      </c>
      <c r="B204" s="16" t="s">
        <v>59</v>
      </c>
      <c r="C204" s="16" t="s">
        <v>34</v>
      </c>
      <c r="D204" s="17" t="s">
        <v>499</v>
      </c>
      <c r="E204" s="12">
        <f t="shared" si="55"/>
        <v>1619000</v>
      </c>
      <c r="F204" s="13">
        <f>1560000+59000</f>
        <v>1619000</v>
      </c>
      <c r="G204" s="13">
        <v>1200000</v>
      </c>
      <c r="H204" s="13">
        <f>54000+59000</f>
        <v>113000</v>
      </c>
      <c r="I204" s="18"/>
      <c r="J204" s="12">
        <f t="shared" si="54"/>
        <v>0</v>
      </c>
      <c r="K204" s="13"/>
      <c r="L204" s="13"/>
      <c r="M204" s="13"/>
      <c r="N204" s="13"/>
      <c r="O204" s="18"/>
      <c r="P204" s="19">
        <f t="shared" si="52"/>
        <v>1619000</v>
      </c>
    </row>
    <row r="205" spans="1:17" s="21" customFormat="1" ht="24" x14ac:dyDescent="0.2">
      <c r="A205" s="54">
        <v>1115022</v>
      </c>
      <c r="B205" s="16" t="s">
        <v>60</v>
      </c>
      <c r="C205" s="16" t="s">
        <v>34</v>
      </c>
      <c r="D205" s="17" t="s">
        <v>228</v>
      </c>
      <c r="E205" s="12">
        <f t="shared" si="55"/>
        <v>1010000</v>
      </c>
      <c r="F205" s="13">
        <f>340000+150000+520000</f>
        <v>1010000</v>
      </c>
      <c r="G205" s="13"/>
      <c r="H205" s="13"/>
      <c r="I205" s="18"/>
      <c r="J205" s="12">
        <f t="shared" si="54"/>
        <v>0</v>
      </c>
      <c r="K205" s="13"/>
      <c r="L205" s="13"/>
      <c r="M205" s="13"/>
      <c r="N205" s="13"/>
      <c r="O205" s="18"/>
      <c r="P205" s="19">
        <f t="shared" si="52"/>
        <v>1010000</v>
      </c>
    </row>
    <row r="206" spans="1:17" s="21" customFormat="1" ht="12" x14ac:dyDescent="0.2">
      <c r="A206" s="54">
        <v>1115041</v>
      </c>
      <c r="B206" s="16" t="s">
        <v>211</v>
      </c>
      <c r="C206" s="16" t="s">
        <v>34</v>
      </c>
      <c r="D206" s="17" t="s">
        <v>498</v>
      </c>
      <c r="E206" s="12">
        <f t="shared" si="55"/>
        <v>13034215</v>
      </c>
      <c r="F206" s="13">
        <f>13000000+34215</f>
        <v>13034215</v>
      </c>
      <c r="G206" s="13"/>
      <c r="H206" s="13"/>
      <c r="I206" s="18"/>
      <c r="J206" s="12">
        <f t="shared" si="54"/>
        <v>0</v>
      </c>
      <c r="K206" s="13"/>
      <c r="L206" s="13"/>
      <c r="M206" s="13"/>
      <c r="N206" s="13"/>
      <c r="O206" s="18"/>
      <c r="P206" s="19">
        <f t="shared" si="52"/>
        <v>13034215</v>
      </c>
    </row>
    <row r="207" spans="1:17" s="21" customFormat="1" ht="24" x14ac:dyDescent="0.2">
      <c r="A207" s="54">
        <v>1115049</v>
      </c>
      <c r="B207" s="16" t="s">
        <v>464</v>
      </c>
      <c r="C207" s="16" t="s">
        <v>34</v>
      </c>
      <c r="D207" s="17" t="s">
        <v>465</v>
      </c>
      <c r="E207" s="12">
        <f t="shared" si="55"/>
        <v>31300</v>
      </c>
      <c r="F207" s="13">
        <v>31300</v>
      </c>
      <c r="G207" s="13">
        <v>25600</v>
      </c>
      <c r="H207" s="13"/>
      <c r="I207" s="18"/>
      <c r="J207" s="12"/>
      <c r="K207" s="13"/>
      <c r="L207" s="13"/>
      <c r="M207" s="13"/>
      <c r="N207" s="13"/>
      <c r="O207" s="18"/>
      <c r="P207" s="19"/>
    </row>
    <row r="208" spans="1:17" s="21" customFormat="1" ht="36" x14ac:dyDescent="0.2">
      <c r="A208" s="54">
        <v>1115061</v>
      </c>
      <c r="B208" s="16" t="s">
        <v>62</v>
      </c>
      <c r="C208" s="16" t="s">
        <v>34</v>
      </c>
      <c r="D208" s="17" t="s">
        <v>63</v>
      </c>
      <c r="E208" s="12">
        <f t="shared" si="55"/>
        <v>1684700</v>
      </c>
      <c r="F208" s="13">
        <v>1684700</v>
      </c>
      <c r="G208" s="13">
        <v>1112000</v>
      </c>
      <c r="H208" s="13">
        <v>21000</v>
      </c>
      <c r="I208" s="18"/>
      <c r="J208" s="12">
        <f t="shared" si="54"/>
        <v>0</v>
      </c>
      <c r="K208" s="13"/>
      <c r="L208" s="13"/>
      <c r="M208" s="13"/>
      <c r="N208" s="13"/>
      <c r="O208" s="18"/>
      <c r="P208" s="19">
        <f t="shared" si="52"/>
        <v>1684700</v>
      </c>
    </row>
    <row r="209" spans="1:17" s="21" customFormat="1" ht="24" x14ac:dyDescent="0.2">
      <c r="A209" s="54">
        <v>1115062</v>
      </c>
      <c r="B209" s="16" t="s">
        <v>64</v>
      </c>
      <c r="C209" s="16" t="s">
        <v>34</v>
      </c>
      <c r="D209" s="17" t="s">
        <v>65</v>
      </c>
      <c r="E209" s="12">
        <f>F209</f>
        <v>32554500</v>
      </c>
      <c r="F209" s="13">
        <f>30000000+30000+74000+100000+25000+52000-31500+1500000+350000+611000-59000-25000-74000-100000+80000+22000</f>
        <v>32554500</v>
      </c>
      <c r="G209" s="13"/>
      <c r="H209" s="13"/>
      <c r="I209" s="18"/>
      <c r="J209" s="12">
        <f t="shared" si="54"/>
        <v>0</v>
      </c>
      <c r="K209" s="13"/>
      <c r="L209" s="13"/>
      <c r="M209" s="13"/>
      <c r="N209" s="13"/>
      <c r="O209" s="18"/>
      <c r="P209" s="19">
        <f t="shared" si="52"/>
        <v>32554500</v>
      </c>
    </row>
    <row r="210" spans="1:17" s="6" customFormat="1" ht="39.75" customHeight="1" x14ac:dyDescent="0.2">
      <c r="A210" s="28" t="s">
        <v>110</v>
      </c>
      <c r="B210" s="7"/>
      <c r="C210" s="7"/>
      <c r="D210" s="8" t="s">
        <v>296</v>
      </c>
      <c r="E210" s="9">
        <f>F210+I210</f>
        <v>362525797</v>
      </c>
      <c r="F210" s="10">
        <f t="shared" ref="F210:I210" si="56">F212+F213+F214+F217+F222+F223+F227+F232+F236+F231+F230</f>
        <v>97833797</v>
      </c>
      <c r="G210" s="10">
        <f t="shared" si="56"/>
        <v>17500000</v>
      </c>
      <c r="H210" s="10">
        <f t="shared" si="56"/>
        <v>17946498</v>
      </c>
      <c r="I210" s="11">
        <f t="shared" si="56"/>
        <v>264692000</v>
      </c>
      <c r="J210" s="9">
        <f>J212+J213+J214+J217+J222+J223+J227+J232+J236+J231+J230</f>
        <v>89820206</v>
      </c>
      <c r="K210" s="10">
        <f>K212+K213+K214+K217+K222+K223+K227+K232+K236+K231+K230</f>
        <v>89690206</v>
      </c>
      <c r="L210" s="10">
        <f t="shared" ref="L210:O210" si="57">L212+L213+L214+L217+L222+L223+L227+L232+L236+L231+L230</f>
        <v>130000</v>
      </c>
      <c r="M210" s="10">
        <f t="shared" si="57"/>
        <v>0</v>
      </c>
      <c r="N210" s="10">
        <f t="shared" si="57"/>
        <v>0</v>
      </c>
      <c r="O210" s="11">
        <f t="shared" si="57"/>
        <v>89690206</v>
      </c>
      <c r="P210" s="14">
        <f>E210+J210</f>
        <v>452346003</v>
      </c>
    </row>
    <row r="211" spans="1:17" s="6" customFormat="1" ht="39.75" customHeight="1" x14ac:dyDescent="0.2">
      <c r="A211" s="28" t="s">
        <v>111</v>
      </c>
      <c r="B211" s="7"/>
      <c r="C211" s="7"/>
      <c r="D211" s="8" t="s">
        <v>296</v>
      </c>
      <c r="E211" s="12">
        <f t="shared" ref="E211" si="58">F211+I211</f>
        <v>0</v>
      </c>
      <c r="F211" s="10"/>
      <c r="G211" s="10"/>
      <c r="H211" s="10"/>
      <c r="I211" s="11"/>
      <c r="J211" s="12"/>
      <c r="K211" s="13"/>
      <c r="L211" s="10"/>
      <c r="M211" s="10"/>
      <c r="N211" s="10"/>
      <c r="O211" s="11"/>
      <c r="P211" s="14">
        <f t="shared" si="52"/>
        <v>0</v>
      </c>
    </row>
    <row r="212" spans="1:17" s="21" customFormat="1" ht="24" x14ac:dyDescent="0.2">
      <c r="A212" s="15" t="s">
        <v>112</v>
      </c>
      <c r="B212" s="16" t="s">
        <v>56</v>
      </c>
      <c r="C212" s="16" t="s">
        <v>20</v>
      </c>
      <c r="D212" s="17" t="s">
        <v>397</v>
      </c>
      <c r="E212" s="12">
        <f>F212+I212</f>
        <v>17149656</v>
      </c>
      <c r="F212" s="13">
        <f>16300000+783246+25000+41410</f>
        <v>17149656</v>
      </c>
      <c r="G212" s="13">
        <v>12300000</v>
      </c>
      <c r="H212" s="13">
        <f>460000+25000</f>
        <v>485000</v>
      </c>
      <c r="I212" s="18"/>
      <c r="J212" s="12">
        <f t="shared" si="43"/>
        <v>0</v>
      </c>
      <c r="K212" s="13"/>
      <c r="L212" s="13"/>
      <c r="M212" s="13"/>
      <c r="N212" s="13"/>
      <c r="O212" s="18"/>
      <c r="P212" s="19">
        <f t="shared" si="52"/>
        <v>17149656</v>
      </c>
    </row>
    <row r="213" spans="1:17" s="21" customFormat="1" ht="12" x14ac:dyDescent="0.2">
      <c r="A213" s="15" t="s">
        <v>200</v>
      </c>
      <c r="B213" s="16" t="s">
        <v>13</v>
      </c>
      <c r="C213" s="16" t="s">
        <v>14</v>
      </c>
      <c r="D213" s="17" t="s">
        <v>288</v>
      </c>
      <c r="E213" s="12">
        <f>F213+I213</f>
        <v>22605848</v>
      </c>
      <c r="F213" s="13">
        <f>8016000+6137629+1520677+30000+1070283+1882033+74400-41410+3866236+50000</f>
        <v>22605848</v>
      </c>
      <c r="G213" s="13">
        <v>5200000</v>
      </c>
      <c r="H213" s="13">
        <v>290400</v>
      </c>
      <c r="I213" s="18"/>
      <c r="J213" s="12">
        <f t="shared" si="43"/>
        <v>0</v>
      </c>
      <c r="K213" s="13"/>
      <c r="L213" s="13"/>
      <c r="M213" s="13"/>
      <c r="N213" s="13"/>
      <c r="O213" s="18"/>
      <c r="P213" s="19">
        <f t="shared" si="52"/>
        <v>22605848</v>
      </c>
    </row>
    <row r="214" spans="1:17" s="21" customFormat="1" ht="24" x14ac:dyDescent="0.2">
      <c r="A214" s="15" t="s">
        <v>523</v>
      </c>
      <c r="B214" s="16" t="s">
        <v>524</v>
      </c>
      <c r="C214" s="16" t="s">
        <v>41</v>
      </c>
      <c r="D214" s="17" t="s">
        <v>525</v>
      </c>
      <c r="E214" s="12">
        <f>F214+I214</f>
        <v>0</v>
      </c>
      <c r="F214" s="13"/>
      <c r="G214" s="13"/>
      <c r="H214" s="13"/>
      <c r="I214" s="18"/>
      <c r="J214" s="12">
        <f>L214+O214</f>
        <v>1264419</v>
      </c>
      <c r="K214" s="13">
        <f>210000+1054419</f>
        <v>1264419</v>
      </c>
      <c r="L214" s="13"/>
      <c r="M214" s="13"/>
      <c r="N214" s="13"/>
      <c r="O214" s="18">
        <f>210000+1054419</f>
        <v>1264419</v>
      </c>
      <c r="P214" s="19">
        <f t="shared" ref="P214:P216" si="59">E214+J214</f>
        <v>1264419</v>
      </c>
      <c r="Q214" s="20"/>
    </row>
    <row r="215" spans="1:17" s="21" customFormat="1" ht="12" x14ac:dyDescent="0.2">
      <c r="A215" s="15"/>
      <c r="B215" s="16"/>
      <c r="C215" s="16"/>
      <c r="D215" s="17" t="s">
        <v>314</v>
      </c>
      <c r="E215" s="12"/>
      <c r="F215" s="13"/>
      <c r="G215" s="13"/>
      <c r="H215" s="13"/>
      <c r="I215" s="18"/>
      <c r="J215" s="12">
        <f t="shared" ref="J215:J216" si="60">L215+O215</f>
        <v>0</v>
      </c>
      <c r="K215" s="13"/>
      <c r="L215" s="13"/>
      <c r="M215" s="13"/>
      <c r="N215" s="13"/>
      <c r="O215" s="18"/>
      <c r="P215" s="19">
        <f t="shared" si="59"/>
        <v>0</v>
      </c>
      <c r="Q215" s="20"/>
    </row>
    <row r="216" spans="1:17" s="21" customFormat="1" ht="48" x14ac:dyDescent="0.2">
      <c r="A216" s="15"/>
      <c r="B216" s="16"/>
      <c r="C216" s="16"/>
      <c r="D216" s="17" t="s">
        <v>526</v>
      </c>
      <c r="E216" s="12"/>
      <c r="F216" s="13"/>
      <c r="G216" s="13"/>
      <c r="H216" s="13"/>
      <c r="I216" s="18"/>
      <c r="J216" s="12">
        <f t="shared" si="60"/>
        <v>1264419</v>
      </c>
      <c r="K216" s="13">
        <f>210000+1054419</f>
        <v>1264419</v>
      </c>
      <c r="L216" s="13"/>
      <c r="M216" s="13"/>
      <c r="N216" s="13"/>
      <c r="O216" s="18">
        <f>210000+1054419</f>
        <v>1264419</v>
      </c>
      <c r="P216" s="19">
        <f t="shared" si="59"/>
        <v>1264419</v>
      </c>
      <c r="Q216" s="20"/>
    </row>
    <row r="217" spans="1:17" s="21" customFormat="1" ht="14.25" customHeight="1" x14ac:dyDescent="0.2">
      <c r="A217" s="15" t="s">
        <v>387</v>
      </c>
      <c r="B217" s="16" t="s">
        <v>207</v>
      </c>
      <c r="C217" s="16" t="s">
        <v>22</v>
      </c>
      <c r="D217" s="17" t="s">
        <v>208</v>
      </c>
      <c r="E217" s="12">
        <f>F217+I217</f>
        <v>19991125</v>
      </c>
      <c r="F217" s="13">
        <f>10707125+99000</f>
        <v>10806125</v>
      </c>
      <c r="G217" s="13"/>
      <c r="H217" s="13"/>
      <c r="I217" s="18">
        <f>5000000+1000000+500000+940000+1650000+95000</f>
        <v>9185000</v>
      </c>
      <c r="J217" s="12">
        <f t="shared" si="43"/>
        <v>1547327</v>
      </c>
      <c r="K217" s="13">
        <f>1450182+97145</f>
        <v>1547327</v>
      </c>
      <c r="L217" s="13"/>
      <c r="M217" s="13"/>
      <c r="N217" s="13"/>
      <c r="O217" s="18">
        <f>1450182+97145</f>
        <v>1547327</v>
      </c>
      <c r="P217" s="19">
        <f>E217+J217</f>
        <v>21538452</v>
      </c>
      <c r="Q217" s="20"/>
    </row>
    <row r="218" spans="1:17" s="21" customFormat="1" ht="12" x14ac:dyDescent="0.2">
      <c r="A218" s="15"/>
      <c r="B218" s="16"/>
      <c r="C218" s="16"/>
      <c r="D218" s="17" t="s">
        <v>314</v>
      </c>
      <c r="E218" s="12"/>
      <c r="F218" s="13"/>
      <c r="G218" s="13"/>
      <c r="H218" s="13"/>
      <c r="I218" s="18"/>
      <c r="J218" s="12"/>
      <c r="K218" s="13"/>
      <c r="L218" s="13"/>
      <c r="M218" s="13"/>
      <c r="N218" s="13"/>
      <c r="O218" s="18"/>
      <c r="P218" s="19">
        <f t="shared" si="52"/>
        <v>0</v>
      </c>
      <c r="Q218" s="20"/>
    </row>
    <row r="219" spans="1:17" s="21" customFormat="1" ht="48" x14ac:dyDescent="0.2">
      <c r="A219" s="15"/>
      <c r="B219" s="16"/>
      <c r="C219" s="16"/>
      <c r="D219" s="17" t="s">
        <v>550</v>
      </c>
      <c r="E219" s="12">
        <f>F219</f>
        <v>75000</v>
      </c>
      <c r="F219" s="13">
        <v>75000</v>
      </c>
      <c r="G219" s="13"/>
      <c r="H219" s="13"/>
      <c r="I219" s="18"/>
      <c r="J219" s="12"/>
      <c r="K219" s="13"/>
      <c r="L219" s="13"/>
      <c r="M219" s="13"/>
      <c r="N219" s="13"/>
      <c r="O219" s="18"/>
      <c r="P219" s="19">
        <f t="shared" si="52"/>
        <v>75000</v>
      </c>
      <c r="Q219" s="20"/>
    </row>
    <row r="220" spans="1:17" s="21" customFormat="1" ht="48" x14ac:dyDescent="0.2">
      <c r="A220" s="15"/>
      <c r="B220" s="16"/>
      <c r="C220" s="16"/>
      <c r="D220" s="17" t="s">
        <v>527</v>
      </c>
      <c r="E220" s="12">
        <f>F220</f>
        <v>45000</v>
      </c>
      <c r="F220" s="13">
        <v>45000</v>
      </c>
      <c r="G220" s="13"/>
      <c r="H220" s="13"/>
      <c r="I220" s="18"/>
      <c r="J220" s="12"/>
      <c r="K220" s="13"/>
      <c r="L220" s="13"/>
      <c r="M220" s="13"/>
      <c r="N220" s="13"/>
      <c r="O220" s="18"/>
      <c r="P220" s="19">
        <f t="shared" si="52"/>
        <v>45000</v>
      </c>
      <c r="Q220" s="20"/>
    </row>
    <row r="221" spans="1:17" s="21" customFormat="1" ht="48" x14ac:dyDescent="0.2">
      <c r="A221" s="15"/>
      <c r="B221" s="16"/>
      <c r="C221" s="16"/>
      <c r="D221" s="17" t="s">
        <v>528</v>
      </c>
      <c r="E221" s="12">
        <f>F221</f>
        <v>45000</v>
      </c>
      <c r="F221" s="13">
        <v>45000</v>
      </c>
      <c r="G221" s="13"/>
      <c r="H221" s="13"/>
      <c r="I221" s="18"/>
      <c r="J221" s="12"/>
      <c r="K221" s="13"/>
      <c r="L221" s="13"/>
      <c r="M221" s="13"/>
      <c r="N221" s="13"/>
      <c r="O221" s="18"/>
      <c r="P221" s="19">
        <f t="shared" si="52"/>
        <v>45000</v>
      </c>
      <c r="Q221" s="20"/>
    </row>
    <row r="222" spans="1:17" s="21" customFormat="1" ht="24" x14ac:dyDescent="0.2">
      <c r="A222" s="15" t="s">
        <v>284</v>
      </c>
      <c r="B222" s="16" t="s">
        <v>285</v>
      </c>
      <c r="C222" s="16" t="s">
        <v>22</v>
      </c>
      <c r="D222" s="17" t="s">
        <v>286</v>
      </c>
      <c r="E222" s="12">
        <f t="shared" ref="E222:E236" si="61">F222+I222</f>
        <v>100000</v>
      </c>
      <c r="F222" s="13">
        <v>100000</v>
      </c>
      <c r="G222" s="13"/>
      <c r="H222" s="13"/>
      <c r="I222" s="18"/>
      <c r="J222" s="12">
        <f t="shared" si="43"/>
        <v>0</v>
      </c>
      <c r="K222" s="13"/>
      <c r="L222" s="13"/>
      <c r="M222" s="13"/>
      <c r="N222" s="13"/>
      <c r="O222" s="18"/>
      <c r="P222" s="19">
        <f t="shared" si="52"/>
        <v>100000</v>
      </c>
    </row>
    <row r="223" spans="1:17" s="21" customFormat="1" ht="17.25" customHeight="1" x14ac:dyDescent="0.2">
      <c r="A223" s="15" t="s">
        <v>113</v>
      </c>
      <c r="B223" s="16" t="s">
        <v>86</v>
      </c>
      <c r="C223" s="16" t="s">
        <v>22</v>
      </c>
      <c r="D223" s="17" t="s">
        <v>87</v>
      </c>
      <c r="E223" s="12">
        <f>F223+I223</f>
        <v>300879168</v>
      </c>
      <c r="F223" s="13">
        <f>46511168+760000-99000</f>
        <v>47172168</v>
      </c>
      <c r="G223" s="13"/>
      <c r="H223" s="13">
        <f>17100000+71098</f>
        <v>17171098</v>
      </c>
      <c r="I223" s="18">
        <v>253707000</v>
      </c>
      <c r="J223" s="12">
        <f t="shared" si="43"/>
        <v>9004306</v>
      </c>
      <c r="K223" s="13">
        <f>12870542-3866236</f>
        <v>9004306</v>
      </c>
      <c r="L223" s="13"/>
      <c r="M223" s="13"/>
      <c r="N223" s="13"/>
      <c r="O223" s="18">
        <f>12870542-3866236</f>
        <v>9004306</v>
      </c>
      <c r="P223" s="19">
        <f>E223+J223</f>
        <v>309883474</v>
      </c>
      <c r="Q223" s="20"/>
    </row>
    <row r="224" spans="1:17" s="21" customFormat="1" ht="12" x14ac:dyDescent="0.2">
      <c r="A224" s="15"/>
      <c r="B224" s="16"/>
      <c r="C224" s="16"/>
      <c r="D224" s="17" t="s">
        <v>314</v>
      </c>
      <c r="E224" s="12"/>
      <c r="F224" s="13"/>
      <c r="G224" s="13"/>
      <c r="H224" s="13"/>
      <c r="I224" s="18"/>
      <c r="J224" s="12">
        <f t="shared" si="43"/>
        <v>0</v>
      </c>
      <c r="K224" s="13"/>
      <c r="L224" s="13"/>
      <c r="M224" s="13"/>
      <c r="N224" s="13"/>
      <c r="O224" s="18"/>
      <c r="P224" s="19">
        <f t="shared" si="52"/>
        <v>0</v>
      </c>
      <c r="Q224" s="20"/>
    </row>
    <row r="225" spans="1:17" s="21" customFormat="1" ht="36" x14ac:dyDescent="0.2">
      <c r="A225" s="15"/>
      <c r="B225" s="16"/>
      <c r="C225" s="16"/>
      <c r="D225" s="17" t="s">
        <v>551</v>
      </c>
      <c r="E225" s="12">
        <f>F225</f>
        <v>20000</v>
      </c>
      <c r="F225" s="13">
        <v>20000</v>
      </c>
      <c r="G225" s="13"/>
      <c r="H225" s="13"/>
      <c r="I225" s="18"/>
      <c r="J225" s="12"/>
      <c r="K225" s="13"/>
      <c r="L225" s="13"/>
      <c r="M225" s="13"/>
      <c r="N225" s="13"/>
      <c r="O225" s="18"/>
      <c r="P225" s="19">
        <f t="shared" si="52"/>
        <v>20000</v>
      </c>
      <c r="Q225" s="20"/>
    </row>
    <row r="226" spans="1:17" s="21" customFormat="1" ht="36" x14ac:dyDescent="0.2">
      <c r="A226" s="15"/>
      <c r="B226" s="16"/>
      <c r="C226" s="16"/>
      <c r="D226" s="17" t="s">
        <v>522</v>
      </c>
      <c r="E226" s="12">
        <f t="shared" ref="E226:E229" si="62">F226</f>
        <v>0</v>
      </c>
      <c r="F226" s="13"/>
      <c r="G226" s="13"/>
      <c r="H226" s="13"/>
      <c r="I226" s="18"/>
      <c r="J226" s="12">
        <f t="shared" si="43"/>
        <v>90000</v>
      </c>
      <c r="K226" s="13">
        <f>90000</f>
        <v>90000</v>
      </c>
      <c r="L226" s="13"/>
      <c r="M226" s="13"/>
      <c r="N226" s="13"/>
      <c r="O226" s="18">
        <f>90000</f>
        <v>90000</v>
      </c>
      <c r="P226" s="19">
        <f t="shared" si="52"/>
        <v>90000</v>
      </c>
      <c r="Q226" s="20"/>
    </row>
    <row r="227" spans="1:17" s="21" customFormat="1" ht="12" x14ac:dyDescent="0.2">
      <c r="A227" s="62" t="s">
        <v>470</v>
      </c>
      <c r="B227" s="16" t="s">
        <v>453</v>
      </c>
      <c r="C227" s="16" t="s">
        <v>454</v>
      </c>
      <c r="D227" s="17" t="s">
        <v>511</v>
      </c>
      <c r="E227" s="12">
        <f t="shared" si="62"/>
        <v>0</v>
      </c>
      <c r="F227" s="13"/>
      <c r="G227" s="13"/>
      <c r="H227" s="13"/>
      <c r="I227" s="18"/>
      <c r="J227" s="12">
        <f t="shared" si="43"/>
        <v>7574154</v>
      </c>
      <c r="K227" s="13">
        <f>7574154</f>
        <v>7574154</v>
      </c>
      <c r="L227" s="13"/>
      <c r="M227" s="13"/>
      <c r="N227" s="13"/>
      <c r="O227" s="18">
        <f>7574154</f>
        <v>7574154</v>
      </c>
      <c r="P227" s="19">
        <f>E227+J227</f>
        <v>7574154</v>
      </c>
    </row>
    <row r="228" spans="1:17" s="21" customFormat="1" ht="12" x14ac:dyDescent="0.2">
      <c r="A228" s="15"/>
      <c r="B228" s="16"/>
      <c r="C228" s="16"/>
      <c r="D228" s="17" t="s">
        <v>314</v>
      </c>
      <c r="E228" s="12">
        <f t="shared" si="62"/>
        <v>0</v>
      </c>
      <c r="F228" s="13"/>
      <c r="G228" s="13"/>
      <c r="H228" s="13"/>
      <c r="I228" s="18"/>
      <c r="J228" s="12">
        <f t="shared" ref="J228:J230" si="63">L228+O228</f>
        <v>0</v>
      </c>
      <c r="K228" s="13"/>
      <c r="L228" s="13"/>
      <c r="M228" s="13"/>
      <c r="N228" s="13"/>
      <c r="O228" s="18"/>
      <c r="P228" s="19">
        <f t="shared" ref="P228:P231" si="64">E228+J228</f>
        <v>0</v>
      </c>
      <c r="Q228" s="20"/>
    </row>
    <row r="229" spans="1:17" s="21" customFormat="1" ht="36" x14ac:dyDescent="0.2">
      <c r="A229" s="15"/>
      <c r="B229" s="16"/>
      <c r="C229" s="16"/>
      <c r="D229" s="17" t="s">
        <v>521</v>
      </c>
      <c r="E229" s="12">
        <f t="shared" si="62"/>
        <v>0</v>
      </c>
      <c r="F229" s="13"/>
      <c r="G229" s="13"/>
      <c r="H229" s="13"/>
      <c r="I229" s="18"/>
      <c r="J229" s="12">
        <f t="shared" si="63"/>
        <v>500000</v>
      </c>
      <c r="K229" s="13">
        <f>500000</f>
        <v>500000</v>
      </c>
      <c r="L229" s="13"/>
      <c r="M229" s="13"/>
      <c r="N229" s="13"/>
      <c r="O229" s="18">
        <f>500000</f>
        <v>500000</v>
      </c>
      <c r="P229" s="19">
        <f t="shared" si="64"/>
        <v>500000</v>
      </c>
      <c r="Q229" s="20"/>
    </row>
    <row r="230" spans="1:17" s="21" customFormat="1" ht="12" x14ac:dyDescent="0.2">
      <c r="A230" s="15" t="s">
        <v>570</v>
      </c>
      <c r="B230" s="16" t="s">
        <v>571</v>
      </c>
      <c r="C230" s="16" t="s">
        <v>572</v>
      </c>
      <c r="D230" s="17" t="s">
        <v>573</v>
      </c>
      <c r="E230" s="12"/>
      <c r="F230" s="13"/>
      <c r="G230" s="13"/>
      <c r="H230" s="13"/>
      <c r="I230" s="18"/>
      <c r="J230" s="12">
        <f t="shared" si="63"/>
        <v>600000</v>
      </c>
      <c r="K230" s="13">
        <f>600000</f>
        <v>600000</v>
      </c>
      <c r="L230" s="13"/>
      <c r="M230" s="13"/>
      <c r="N230" s="13"/>
      <c r="O230" s="18">
        <f>600000</f>
        <v>600000</v>
      </c>
      <c r="P230" s="19"/>
      <c r="Q230" s="20"/>
    </row>
    <row r="231" spans="1:17" s="21" customFormat="1" ht="12" x14ac:dyDescent="0.2">
      <c r="A231" s="15" t="s">
        <v>562</v>
      </c>
      <c r="B231" s="16" t="s">
        <v>563</v>
      </c>
      <c r="C231" s="16" t="s">
        <v>202</v>
      </c>
      <c r="D231" s="17" t="s">
        <v>564</v>
      </c>
      <c r="E231" s="12">
        <f>F231+I231</f>
        <v>1800000</v>
      </c>
      <c r="F231" s="13"/>
      <c r="G231" s="13"/>
      <c r="H231" s="13"/>
      <c r="I231" s="18">
        <f>1800000</f>
        <v>1800000</v>
      </c>
      <c r="J231" s="12"/>
      <c r="K231" s="13"/>
      <c r="L231" s="13"/>
      <c r="M231" s="13"/>
      <c r="N231" s="13"/>
      <c r="O231" s="18"/>
      <c r="P231" s="19">
        <f t="shared" si="64"/>
        <v>1800000</v>
      </c>
      <c r="Q231" s="20"/>
    </row>
    <row r="232" spans="1:17" s="21" customFormat="1" ht="12" x14ac:dyDescent="0.2">
      <c r="A232" s="15" t="s">
        <v>114</v>
      </c>
      <c r="B232" s="16" t="s">
        <v>73</v>
      </c>
      <c r="C232" s="16" t="s">
        <v>23</v>
      </c>
      <c r="D232" s="17" t="s">
        <v>12</v>
      </c>
      <c r="E232" s="12">
        <f t="shared" si="61"/>
        <v>0</v>
      </c>
      <c r="F232" s="13"/>
      <c r="G232" s="13"/>
      <c r="H232" s="13"/>
      <c r="I232" s="18"/>
      <c r="J232" s="12">
        <f>L232+O232</f>
        <v>69700000</v>
      </c>
      <c r="K232" s="13">
        <f>SUM(K233:K235)</f>
        <v>69700000</v>
      </c>
      <c r="L232" s="13">
        <f t="shared" ref="L232:O232" si="65">SUM(L233:L235)</f>
        <v>0</v>
      </c>
      <c r="M232" s="13">
        <f t="shared" si="65"/>
        <v>0</v>
      </c>
      <c r="N232" s="13">
        <f t="shared" si="65"/>
        <v>0</v>
      </c>
      <c r="O232" s="18">
        <f t="shared" si="65"/>
        <v>69700000</v>
      </c>
      <c r="P232" s="19">
        <f t="shared" si="52"/>
        <v>69700000</v>
      </c>
    </row>
    <row r="233" spans="1:17" s="21" customFormat="1" ht="12" x14ac:dyDescent="0.2">
      <c r="A233" s="15"/>
      <c r="B233" s="16"/>
      <c r="C233" s="16"/>
      <c r="D233" s="17" t="s">
        <v>314</v>
      </c>
      <c r="E233" s="12"/>
      <c r="F233" s="13"/>
      <c r="G233" s="13"/>
      <c r="H233" s="13"/>
      <c r="I233" s="18"/>
      <c r="J233" s="12"/>
      <c r="K233" s="13"/>
      <c r="L233" s="13"/>
      <c r="M233" s="13"/>
      <c r="N233" s="13"/>
      <c r="O233" s="18"/>
      <c r="P233" s="19">
        <f t="shared" si="52"/>
        <v>0</v>
      </c>
    </row>
    <row r="234" spans="1:17" s="21" customFormat="1" ht="12" x14ac:dyDescent="0.2">
      <c r="A234" s="15"/>
      <c r="B234" s="16"/>
      <c r="C234" s="16"/>
      <c r="D234" s="17" t="s">
        <v>426</v>
      </c>
      <c r="E234" s="12"/>
      <c r="F234" s="13"/>
      <c r="G234" s="13"/>
      <c r="H234" s="13"/>
      <c r="I234" s="18"/>
      <c r="J234" s="12">
        <f>L234+O234</f>
        <v>68200000</v>
      </c>
      <c r="K234" s="13">
        <f>70000000-1800000</f>
        <v>68200000</v>
      </c>
      <c r="L234" s="13"/>
      <c r="M234" s="13"/>
      <c r="N234" s="13"/>
      <c r="O234" s="18">
        <f>70000000-1800000</f>
        <v>68200000</v>
      </c>
      <c r="P234" s="19">
        <f t="shared" si="52"/>
        <v>68200000</v>
      </c>
    </row>
    <row r="235" spans="1:17" s="21" customFormat="1" ht="12" x14ac:dyDescent="0.2">
      <c r="A235" s="15"/>
      <c r="B235" s="16"/>
      <c r="C235" s="16"/>
      <c r="D235" s="17" t="s">
        <v>516</v>
      </c>
      <c r="E235" s="12"/>
      <c r="F235" s="13"/>
      <c r="G235" s="13"/>
      <c r="H235" s="13"/>
      <c r="I235" s="18"/>
      <c r="J235" s="12">
        <f>L235+O235</f>
        <v>1500000</v>
      </c>
      <c r="K235" s="13">
        <f>1500000</f>
        <v>1500000</v>
      </c>
      <c r="L235" s="13"/>
      <c r="M235" s="13"/>
      <c r="N235" s="13"/>
      <c r="O235" s="18">
        <f>1500000</f>
        <v>1500000</v>
      </c>
      <c r="P235" s="19">
        <f t="shared" si="52"/>
        <v>1500000</v>
      </c>
    </row>
    <row r="236" spans="1:17" s="21" customFormat="1" ht="12" x14ac:dyDescent="0.2">
      <c r="A236" s="15" t="s">
        <v>262</v>
      </c>
      <c r="B236" s="16" t="s">
        <v>88</v>
      </c>
      <c r="C236" s="16" t="s">
        <v>16</v>
      </c>
      <c r="D236" s="17" t="s">
        <v>9</v>
      </c>
      <c r="E236" s="12">
        <f t="shared" si="61"/>
        <v>0</v>
      </c>
      <c r="F236" s="13"/>
      <c r="G236" s="13"/>
      <c r="H236" s="13"/>
      <c r="I236" s="18"/>
      <c r="J236" s="12">
        <f t="shared" si="43"/>
        <v>130000</v>
      </c>
      <c r="K236" s="13"/>
      <c r="L236" s="13">
        <v>130000</v>
      </c>
      <c r="M236" s="13"/>
      <c r="N236" s="13"/>
      <c r="O236" s="18"/>
      <c r="P236" s="19">
        <f t="shared" si="52"/>
        <v>130000</v>
      </c>
    </row>
    <row r="237" spans="1:17" s="6" customFormat="1" ht="26.25" customHeight="1" x14ac:dyDescent="0.2">
      <c r="A237" s="28" t="s">
        <v>292</v>
      </c>
      <c r="B237" s="7"/>
      <c r="C237" s="7"/>
      <c r="D237" s="8" t="s">
        <v>294</v>
      </c>
      <c r="E237" s="9">
        <f>SUM(E239:E242)</f>
        <v>103841286</v>
      </c>
      <c r="F237" s="10">
        <f>SUM(F238:F242)+F247</f>
        <v>68841286</v>
      </c>
      <c r="G237" s="10">
        <f t="shared" ref="G237:I237" si="66">SUM(G238:G242)+G247</f>
        <v>11400000</v>
      </c>
      <c r="H237" s="10">
        <f t="shared" si="66"/>
        <v>150000</v>
      </c>
      <c r="I237" s="11">
        <f t="shared" si="66"/>
        <v>35000000</v>
      </c>
      <c r="J237" s="9">
        <f>SUM(J238:J242)+J247</f>
        <v>7756030</v>
      </c>
      <c r="K237" s="10">
        <f t="shared" ref="K237:O237" si="67">SUM(K238:K242)+K247</f>
        <v>7756030</v>
      </c>
      <c r="L237" s="10">
        <f t="shared" si="67"/>
        <v>0</v>
      </c>
      <c r="M237" s="10">
        <f t="shared" si="67"/>
        <v>0</v>
      </c>
      <c r="N237" s="10">
        <f t="shared" si="67"/>
        <v>0</v>
      </c>
      <c r="O237" s="11">
        <f t="shared" si="67"/>
        <v>7756030</v>
      </c>
      <c r="P237" s="14">
        <f>E237+J237</f>
        <v>111597316</v>
      </c>
    </row>
    <row r="238" spans="1:17" s="6" customFormat="1" ht="27.75" customHeight="1" x14ac:dyDescent="0.2">
      <c r="A238" s="28" t="s">
        <v>293</v>
      </c>
      <c r="B238" s="7"/>
      <c r="C238" s="7"/>
      <c r="D238" s="8" t="s">
        <v>294</v>
      </c>
      <c r="E238" s="9"/>
      <c r="F238" s="10"/>
      <c r="G238" s="10"/>
      <c r="H238" s="10"/>
      <c r="I238" s="11"/>
      <c r="J238" s="12"/>
      <c r="K238" s="13"/>
      <c r="L238" s="10"/>
      <c r="M238" s="10"/>
      <c r="N238" s="10"/>
      <c r="O238" s="11"/>
      <c r="P238" s="14">
        <f t="shared" si="52"/>
        <v>0</v>
      </c>
    </row>
    <row r="239" spans="1:17" s="21" customFormat="1" ht="24" x14ac:dyDescent="0.2">
      <c r="A239" s="15" t="s">
        <v>295</v>
      </c>
      <c r="B239" s="16" t="s">
        <v>56</v>
      </c>
      <c r="C239" s="16" t="s">
        <v>20</v>
      </c>
      <c r="D239" s="17" t="s">
        <v>397</v>
      </c>
      <c r="E239" s="12">
        <f>F239+I239</f>
        <v>8400000</v>
      </c>
      <c r="F239" s="13">
        <v>8400000</v>
      </c>
      <c r="G239" s="13">
        <v>6500000</v>
      </c>
      <c r="H239" s="13">
        <v>150000</v>
      </c>
      <c r="I239" s="18"/>
      <c r="J239" s="12">
        <f t="shared" ref="J239:J245" si="68">L239+O239</f>
        <v>0</v>
      </c>
      <c r="K239" s="13"/>
      <c r="L239" s="13"/>
      <c r="M239" s="13"/>
      <c r="N239" s="13"/>
      <c r="O239" s="18"/>
      <c r="P239" s="19">
        <f t="shared" si="52"/>
        <v>8400000</v>
      </c>
    </row>
    <row r="240" spans="1:17" s="21" customFormat="1" ht="12" x14ac:dyDescent="0.2">
      <c r="A240" s="15" t="s">
        <v>320</v>
      </c>
      <c r="B240" s="16" t="s">
        <v>13</v>
      </c>
      <c r="C240" s="16" t="s">
        <v>14</v>
      </c>
      <c r="D240" s="17" t="s">
        <v>288</v>
      </c>
      <c r="E240" s="12">
        <f>F240+I240</f>
        <v>9215376</v>
      </c>
      <c r="F240" s="13">
        <f>6200000+400000+2615376</f>
        <v>9215376</v>
      </c>
      <c r="G240" s="13">
        <f>4500000+400000</f>
        <v>4900000</v>
      </c>
      <c r="H240" s="13"/>
      <c r="I240" s="18"/>
      <c r="J240" s="12">
        <f t="shared" si="68"/>
        <v>0</v>
      </c>
      <c r="K240" s="13"/>
      <c r="L240" s="13"/>
      <c r="M240" s="13"/>
      <c r="N240" s="13"/>
      <c r="O240" s="18"/>
      <c r="P240" s="19">
        <f t="shared" si="52"/>
        <v>9215376</v>
      </c>
    </row>
    <row r="241" spans="1:17" s="21" customFormat="1" ht="24" x14ac:dyDescent="0.2">
      <c r="A241" s="15" t="s">
        <v>399</v>
      </c>
      <c r="B241" s="16" t="s">
        <v>84</v>
      </c>
      <c r="C241" s="16" t="s">
        <v>22</v>
      </c>
      <c r="D241" s="17" t="s">
        <v>85</v>
      </c>
      <c r="E241" s="12">
        <f>F241+I241</f>
        <v>10000000</v>
      </c>
      <c r="F241" s="13"/>
      <c r="G241" s="13"/>
      <c r="H241" s="13"/>
      <c r="I241" s="18">
        <v>10000000</v>
      </c>
      <c r="J241" s="12">
        <f t="shared" si="68"/>
        <v>0</v>
      </c>
      <c r="K241" s="13"/>
      <c r="L241" s="13"/>
      <c r="M241" s="13"/>
      <c r="N241" s="13"/>
      <c r="O241" s="18"/>
      <c r="P241" s="19">
        <f t="shared" si="52"/>
        <v>10000000</v>
      </c>
    </row>
    <row r="242" spans="1:17" s="21" customFormat="1" ht="12" x14ac:dyDescent="0.2">
      <c r="A242" s="15" t="s">
        <v>316</v>
      </c>
      <c r="B242" s="16" t="s">
        <v>86</v>
      </c>
      <c r="C242" s="16" t="s">
        <v>22</v>
      </c>
      <c r="D242" s="17" t="s">
        <v>87</v>
      </c>
      <c r="E242" s="12">
        <f>F242+I242</f>
        <v>76225910</v>
      </c>
      <c r="F242" s="13">
        <f>35000000+30000000+500000+190000+750000-548000-99000-7000000+64500-3837590-1824000+630000-500000-1000000+1200000-600000-1650000-50000</f>
        <v>51225910</v>
      </c>
      <c r="G242" s="13"/>
      <c r="H242" s="13"/>
      <c r="I242" s="18">
        <f>20000000+5000000</f>
        <v>25000000</v>
      </c>
      <c r="J242" s="12">
        <f t="shared" si="68"/>
        <v>7246030</v>
      </c>
      <c r="K242" s="13">
        <f>9661406+200000-2615376</f>
        <v>7246030</v>
      </c>
      <c r="L242" s="13"/>
      <c r="M242" s="13"/>
      <c r="N242" s="13"/>
      <c r="O242" s="18">
        <f>9661406+200000-2615376</f>
        <v>7246030</v>
      </c>
      <c r="P242" s="19">
        <f t="shared" si="52"/>
        <v>83471940</v>
      </c>
    </row>
    <row r="243" spans="1:17" s="21" customFormat="1" ht="12" x14ac:dyDescent="0.2">
      <c r="A243" s="15"/>
      <c r="B243" s="16"/>
      <c r="C243" s="16"/>
      <c r="D243" s="17" t="s">
        <v>314</v>
      </c>
      <c r="E243" s="12"/>
      <c r="F243" s="13"/>
      <c r="G243" s="13"/>
      <c r="H243" s="13"/>
      <c r="I243" s="18"/>
      <c r="J243" s="12">
        <f t="shared" si="68"/>
        <v>0</v>
      </c>
      <c r="K243" s="13"/>
      <c r="L243" s="13"/>
      <c r="M243" s="13"/>
      <c r="N243" s="13"/>
      <c r="O243" s="18"/>
      <c r="P243" s="19"/>
    </row>
    <row r="244" spans="1:17" s="21" customFormat="1" ht="24" x14ac:dyDescent="0.2">
      <c r="A244" s="15"/>
      <c r="B244" s="16"/>
      <c r="C244" s="16"/>
      <c r="D244" s="17" t="s">
        <v>480</v>
      </c>
      <c r="E244" s="12">
        <v>300000</v>
      </c>
      <c r="F244" s="13">
        <v>300000</v>
      </c>
      <c r="G244" s="13"/>
      <c r="H244" s="13"/>
      <c r="I244" s="18"/>
      <c r="J244" s="12">
        <f t="shared" si="68"/>
        <v>0</v>
      </c>
      <c r="K244" s="13"/>
      <c r="L244" s="13"/>
      <c r="M244" s="13"/>
      <c r="N244" s="13"/>
      <c r="O244" s="18"/>
      <c r="P244" s="19">
        <f t="shared" si="52"/>
        <v>300000</v>
      </c>
    </row>
    <row r="245" spans="1:17" s="21" customFormat="1" ht="24" x14ac:dyDescent="0.2">
      <c r="A245" s="15"/>
      <c r="B245" s="16"/>
      <c r="C245" s="16"/>
      <c r="D245" s="17" t="s">
        <v>481</v>
      </c>
      <c r="E245" s="12">
        <v>300000</v>
      </c>
      <c r="F245" s="13">
        <v>300000</v>
      </c>
      <c r="G245" s="13"/>
      <c r="H245" s="13"/>
      <c r="I245" s="18"/>
      <c r="J245" s="12">
        <f t="shared" si="68"/>
        <v>0</v>
      </c>
      <c r="K245" s="13"/>
      <c r="L245" s="13"/>
      <c r="M245" s="13"/>
      <c r="N245" s="13"/>
      <c r="O245" s="18"/>
      <c r="P245" s="19">
        <f t="shared" si="52"/>
        <v>300000</v>
      </c>
    </row>
    <row r="246" spans="1:17" s="21" customFormat="1" ht="36" x14ac:dyDescent="0.2">
      <c r="A246" s="15"/>
      <c r="B246" s="16"/>
      <c r="C246" s="16"/>
      <c r="D246" s="17" t="s">
        <v>554</v>
      </c>
      <c r="E246" s="12">
        <f>F246</f>
        <v>750000</v>
      </c>
      <c r="F246" s="13">
        <v>750000</v>
      </c>
      <c r="G246" s="13"/>
      <c r="H246" s="13"/>
      <c r="I246" s="18"/>
      <c r="J246" s="12"/>
      <c r="K246" s="13"/>
      <c r="L246" s="13"/>
      <c r="M246" s="13"/>
      <c r="N246" s="13"/>
      <c r="O246" s="18"/>
      <c r="P246" s="19">
        <f t="shared" si="52"/>
        <v>750000</v>
      </c>
    </row>
    <row r="247" spans="1:17" s="21" customFormat="1" ht="12" x14ac:dyDescent="0.2">
      <c r="A247" s="15" t="s">
        <v>317</v>
      </c>
      <c r="B247" s="16" t="s">
        <v>73</v>
      </c>
      <c r="C247" s="16" t="s">
        <v>23</v>
      </c>
      <c r="D247" s="17" t="s">
        <v>51</v>
      </c>
      <c r="E247" s="12"/>
      <c r="F247" s="13"/>
      <c r="G247" s="13"/>
      <c r="H247" s="13"/>
      <c r="I247" s="18"/>
      <c r="J247" s="12">
        <f>L247+O247</f>
        <v>510000</v>
      </c>
      <c r="K247" s="13">
        <f>SUM(K248:K249)</f>
        <v>510000</v>
      </c>
      <c r="L247" s="13">
        <f t="shared" ref="L247" si="69">SUM(L248:L249)</f>
        <v>0</v>
      </c>
      <c r="M247" s="13">
        <f t="shared" ref="M247" si="70">SUM(M248:M249)</f>
        <v>0</v>
      </c>
      <c r="N247" s="13">
        <f t="shared" ref="N247" si="71">SUM(N248:N249)</f>
        <v>0</v>
      </c>
      <c r="O247" s="18">
        <f t="shared" ref="O247" si="72">SUM(O248:O249)</f>
        <v>510000</v>
      </c>
      <c r="P247" s="19">
        <f t="shared" si="52"/>
        <v>510000</v>
      </c>
    </row>
    <row r="248" spans="1:17" s="21" customFormat="1" ht="12" x14ac:dyDescent="0.2">
      <c r="A248" s="15"/>
      <c r="B248" s="16"/>
      <c r="C248" s="16"/>
      <c r="D248" s="17" t="s">
        <v>314</v>
      </c>
      <c r="E248" s="12"/>
      <c r="F248" s="13"/>
      <c r="G248" s="13"/>
      <c r="H248" s="13"/>
      <c r="I248" s="18"/>
      <c r="J248" s="12"/>
      <c r="K248" s="13"/>
      <c r="L248" s="13"/>
      <c r="M248" s="13"/>
      <c r="N248" s="13"/>
      <c r="O248" s="18"/>
      <c r="P248" s="19">
        <f t="shared" si="52"/>
        <v>0</v>
      </c>
    </row>
    <row r="249" spans="1:17" s="21" customFormat="1" ht="12" x14ac:dyDescent="0.2">
      <c r="A249" s="15"/>
      <c r="B249" s="16"/>
      <c r="C249" s="16"/>
      <c r="D249" s="17" t="s">
        <v>451</v>
      </c>
      <c r="E249" s="12"/>
      <c r="F249" s="13"/>
      <c r="G249" s="13"/>
      <c r="H249" s="13"/>
      <c r="I249" s="18"/>
      <c r="J249" s="12">
        <f>L249+O249</f>
        <v>510000</v>
      </c>
      <c r="K249" s="13">
        <f>13000000-12490000</f>
        <v>510000</v>
      </c>
      <c r="L249" s="13"/>
      <c r="M249" s="13"/>
      <c r="N249" s="13"/>
      <c r="O249" s="18">
        <f>13000000-12490000</f>
        <v>510000</v>
      </c>
      <c r="P249" s="19">
        <f t="shared" si="52"/>
        <v>510000</v>
      </c>
    </row>
    <row r="250" spans="1:17" s="6" customFormat="1" ht="25.5" x14ac:dyDescent="0.2">
      <c r="A250" s="28" t="s">
        <v>196</v>
      </c>
      <c r="B250" s="7"/>
      <c r="C250" s="7"/>
      <c r="D250" s="8" t="s">
        <v>325</v>
      </c>
      <c r="E250" s="9">
        <f>F250+I250</f>
        <v>36363174</v>
      </c>
      <c r="F250" s="10">
        <f t="shared" ref="F250:I250" si="73">SUM(F252:F256)+F259+F260+F261</f>
        <v>31363174</v>
      </c>
      <c r="G250" s="10">
        <f t="shared" si="73"/>
        <v>5900000</v>
      </c>
      <c r="H250" s="10">
        <f t="shared" si="73"/>
        <v>730000</v>
      </c>
      <c r="I250" s="11">
        <f t="shared" si="73"/>
        <v>5000000</v>
      </c>
      <c r="J250" s="9">
        <f>SUM(J252:J256)+J259+J260+J261</f>
        <v>438482828</v>
      </c>
      <c r="K250" s="10">
        <f>SUM(K252:K256)+K259+K260+K261</f>
        <v>437532828</v>
      </c>
      <c r="L250" s="10">
        <f>SUM(L252:L256)+L259+L260+L261</f>
        <v>900000</v>
      </c>
      <c r="M250" s="10">
        <f t="shared" ref="M250:O250" si="74">SUM(M252:M256)+M259+M260+M261</f>
        <v>620000</v>
      </c>
      <c r="N250" s="10">
        <f t="shared" si="74"/>
        <v>0</v>
      </c>
      <c r="O250" s="11">
        <f t="shared" si="74"/>
        <v>437582828</v>
      </c>
      <c r="P250" s="14">
        <f>E250+J250</f>
        <v>474846002</v>
      </c>
    </row>
    <row r="251" spans="1:17" s="6" customFormat="1" ht="25.5" x14ac:dyDescent="0.2">
      <c r="A251" s="28" t="s">
        <v>197</v>
      </c>
      <c r="B251" s="7"/>
      <c r="C251" s="7"/>
      <c r="D251" s="8" t="s">
        <v>325</v>
      </c>
      <c r="E251" s="9"/>
      <c r="F251" s="10"/>
      <c r="G251" s="10"/>
      <c r="H251" s="10"/>
      <c r="I251" s="11"/>
      <c r="J251" s="12"/>
      <c r="K251" s="13"/>
      <c r="L251" s="10"/>
      <c r="M251" s="10"/>
      <c r="N251" s="10"/>
      <c r="O251" s="11"/>
      <c r="P251" s="14">
        <f t="shared" si="52"/>
        <v>0</v>
      </c>
    </row>
    <row r="252" spans="1:17" s="21" customFormat="1" ht="24" x14ac:dyDescent="0.2">
      <c r="A252" s="15" t="s">
        <v>198</v>
      </c>
      <c r="B252" s="16" t="s">
        <v>56</v>
      </c>
      <c r="C252" s="16" t="s">
        <v>20</v>
      </c>
      <c r="D252" s="17" t="s">
        <v>397</v>
      </c>
      <c r="E252" s="12">
        <f>F252+I252</f>
        <v>3300000</v>
      </c>
      <c r="F252" s="13">
        <f>2900000+400000</f>
        <v>3300000</v>
      </c>
      <c r="G252" s="13">
        <v>1900000</v>
      </c>
      <c r="H252" s="13">
        <f>330000+400000</f>
        <v>730000</v>
      </c>
      <c r="I252" s="18"/>
      <c r="J252" s="12">
        <f t="shared" ref="J252:J338" si="75">L252+O252</f>
        <v>0</v>
      </c>
      <c r="K252" s="13"/>
      <c r="L252" s="13"/>
      <c r="M252" s="13"/>
      <c r="N252" s="13"/>
      <c r="O252" s="18"/>
      <c r="P252" s="19">
        <f t="shared" si="52"/>
        <v>3300000</v>
      </c>
    </row>
    <row r="253" spans="1:17" s="21" customFormat="1" ht="12" x14ac:dyDescent="0.2">
      <c r="A253" s="62" t="s">
        <v>203</v>
      </c>
      <c r="B253" s="16" t="s">
        <v>13</v>
      </c>
      <c r="C253" s="16" t="s">
        <v>14</v>
      </c>
      <c r="D253" s="17" t="s">
        <v>150</v>
      </c>
      <c r="E253" s="12">
        <f>F253+I253</f>
        <v>12386479</v>
      </c>
      <c r="F253" s="13">
        <f>5200000+200000+3577571+200000+13514+3195394</f>
        <v>12386479</v>
      </c>
      <c r="G253" s="13">
        <v>4000000</v>
      </c>
      <c r="H253" s="13"/>
      <c r="I253" s="18"/>
      <c r="J253" s="12">
        <f>L253+O253</f>
        <v>950000</v>
      </c>
      <c r="K253" s="13"/>
      <c r="L253" s="13">
        <v>900000</v>
      </c>
      <c r="M253" s="13">
        <v>620000</v>
      </c>
      <c r="N253" s="13"/>
      <c r="O253" s="18">
        <v>50000</v>
      </c>
      <c r="P253" s="19">
        <f t="shared" si="52"/>
        <v>13336479</v>
      </c>
    </row>
    <row r="254" spans="1:17" s="21" customFormat="1" ht="12" x14ac:dyDescent="0.2">
      <c r="A254" s="15" t="s">
        <v>567</v>
      </c>
      <c r="B254" s="16" t="s">
        <v>568</v>
      </c>
      <c r="C254" s="16" t="s">
        <v>41</v>
      </c>
      <c r="D254" s="17" t="s">
        <v>569</v>
      </c>
      <c r="E254" s="12"/>
      <c r="F254" s="13"/>
      <c r="G254" s="13"/>
      <c r="H254" s="13"/>
      <c r="I254" s="53"/>
      <c r="J254" s="12">
        <f>L254+O254</f>
        <v>1150000</v>
      </c>
      <c r="K254" s="13">
        <f>1150000</f>
        <v>1150000</v>
      </c>
      <c r="L254" s="13"/>
      <c r="M254" s="13"/>
      <c r="N254" s="13"/>
      <c r="O254" s="18">
        <f>1150000</f>
        <v>1150000</v>
      </c>
      <c r="P254" s="19">
        <f t="shared" si="52"/>
        <v>1150000</v>
      </c>
      <c r="Q254" s="25"/>
    </row>
    <row r="255" spans="1:17" s="21" customFormat="1" ht="12" x14ac:dyDescent="0.2">
      <c r="A255" s="15" t="s">
        <v>455</v>
      </c>
      <c r="B255" s="16" t="s">
        <v>207</v>
      </c>
      <c r="C255" s="16" t="s">
        <v>22</v>
      </c>
      <c r="D255" s="17" t="s">
        <v>208</v>
      </c>
      <c r="E255" s="12">
        <f>F255+I255</f>
        <v>5000000</v>
      </c>
      <c r="F255" s="13"/>
      <c r="G255" s="13"/>
      <c r="H255" s="13"/>
      <c r="I255" s="18">
        <v>5000000</v>
      </c>
      <c r="J255" s="12">
        <f t="shared" si="75"/>
        <v>0</v>
      </c>
      <c r="K255" s="13"/>
      <c r="L255" s="13"/>
      <c r="M255" s="13"/>
      <c r="N255" s="13"/>
      <c r="O255" s="18"/>
      <c r="P255" s="19">
        <f t="shared" si="52"/>
        <v>5000000</v>
      </c>
    </row>
    <row r="256" spans="1:17" s="21" customFormat="1" ht="12" x14ac:dyDescent="0.2">
      <c r="A256" s="15" t="s">
        <v>398</v>
      </c>
      <c r="B256" s="16" t="s">
        <v>86</v>
      </c>
      <c r="C256" s="16" t="s">
        <v>22</v>
      </c>
      <c r="D256" s="17" t="s">
        <v>87</v>
      </c>
      <c r="E256" s="12">
        <f>F256+I256</f>
        <v>15676695</v>
      </c>
      <c r="F256" s="13">
        <f>15984695+347000-560000-95000</f>
        <v>15676695</v>
      </c>
      <c r="G256" s="13"/>
      <c r="H256" s="13"/>
      <c r="I256" s="18"/>
      <c r="J256" s="12">
        <f t="shared" si="75"/>
        <v>8487596</v>
      </c>
      <c r="K256" s="13">
        <f>11682990-3195394</f>
        <v>8487596</v>
      </c>
      <c r="L256" s="13"/>
      <c r="M256" s="13"/>
      <c r="N256" s="13"/>
      <c r="O256" s="18">
        <f>11682990-3195394</f>
        <v>8487596</v>
      </c>
      <c r="P256" s="19">
        <f t="shared" si="52"/>
        <v>24164291</v>
      </c>
    </row>
    <row r="257" spans="1:16" s="21" customFormat="1" ht="12" x14ac:dyDescent="0.2">
      <c r="A257" s="15"/>
      <c r="B257" s="16"/>
      <c r="C257" s="16"/>
      <c r="D257" s="17" t="s">
        <v>314</v>
      </c>
      <c r="E257" s="12"/>
      <c r="F257" s="13"/>
      <c r="G257" s="13"/>
      <c r="H257" s="13"/>
      <c r="I257" s="18"/>
      <c r="J257" s="12"/>
      <c r="K257" s="13"/>
      <c r="L257" s="13"/>
      <c r="M257" s="13"/>
      <c r="N257" s="13"/>
      <c r="O257" s="18"/>
      <c r="P257" s="19"/>
    </row>
    <row r="258" spans="1:16" s="21" customFormat="1" ht="24" x14ac:dyDescent="0.2">
      <c r="A258" s="15"/>
      <c r="B258" s="16"/>
      <c r="C258" s="16"/>
      <c r="D258" s="17" t="s">
        <v>553</v>
      </c>
      <c r="E258" s="12">
        <f>F258</f>
        <v>61703</v>
      </c>
      <c r="F258" s="13">
        <v>61703</v>
      </c>
      <c r="G258" s="13"/>
      <c r="H258" s="13"/>
      <c r="I258" s="18"/>
      <c r="J258" s="12"/>
      <c r="K258" s="13"/>
      <c r="L258" s="13"/>
      <c r="M258" s="13"/>
      <c r="N258" s="13"/>
      <c r="O258" s="18"/>
      <c r="P258" s="19">
        <f t="shared" si="52"/>
        <v>61703</v>
      </c>
    </row>
    <row r="259" spans="1:16" s="21" customFormat="1" ht="12" x14ac:dyDescent="0.2">
      <c r="A259" s="62" t="s">
        <v>452</v>
      </c>
      <c r="B259" s="16" t="s">
        <v>453</v>
      </c>
      <c r="C259" s="16" t="s">
        <v>454</v>
      </c>
      <c r="D259" s="17" t="s">
        <v>511</v>
      </c>
      <c r="E259" s="12">
        <f t="shared" ref="E259:E260" si="76">F259+I259</f>
        <v>0</v>
      </c>
      <c r="F259" s="13"/>
      <c r="G259" s="13"/>
      <c r="H259" s="13"/>
      <c r="I259" s="18"/>
      <c r="J259" s="12">
        <f t="shared" si="75"/>
        <v>406384697</v>
      </c>
      <c r="K259" s="13">
        <f>406384697</f>
        <v>406384697</v>
      </c>
      <c r="L259" s="13"/>
      <c r="M259" s="13"/>
      <c r="N259" s="13"/>
      <c r="O259" s="18">
        <f>406384697</f>
        <v>406384697</v>
      </c>
      <c r="P259" s="19">
        <f t="shared" si="52"/>
        <v>406384697</v>
      </c>
    </row>
    <row r="260" spans="1:16" s="21" customFormat="1" ht="12" x14ac:dyDescent="0.2">
      <c r="A260" s="62" t="s">
        <v>209</v>
      </c>
      <c r="B260" s="16" t="s">
        <v>210</v>
      </c>
      <c r="C260" s="16" t="s">
        <v>187</v>
      </c>
      <c r="D260" s="17" t="s">
        <v>421</v>
      </c>
      <c r="E260" s="12">
        <f t="shared" si="76"/>
        <v>0</v>
      </c>
      <c r="F260" s="13"/>
      <c r="G260" s="13"/>
      <c r="H260" s="13"/>
      <c r="I260" s="18"/>
      <c r="J260" s="12">
        <f>L260+O260</f>
        <v>20530535</v>
      </c>
      <c r="K260" s="13">
        <f>20000000+530535</f>
        <v>20530535</v>
      </c>
      <c r="L260" s="13"/>
      <c r="M260" s="13"/>
      <c r="N260" s="13"/>
      <c r="O260" s="18">
        <f>20000000+530535</f>
        <v>20530535</v>
      </c>
      <c r="P260" s="19">
        <f t="shared" si="52"/>
        <v>20530535</v>
      </c>
    </row>
    <row r="261" spans="1:16" s="21" customFormat="1" ht="24" x14ac:dyDescent="0.2">
      <c r="A261" s="62" t="s">
        <v>275</v>
      </c>
      <c r="B261" s="16" t="s">
        <v>247</v>
      </c>
      <c r="C261" s="16" t="s">
        <v>23</v>
      </c>
      <c r="D261" s="17" t="s">
        <v>89</v>
      </c>
      <c r="E261" s="12"/>
      <c r="F261" s="13"/>
      <c r="G261" s="13"/>
      <c r="H261" s="13"/>
      <c r="I261" s="18"/>
      <c r="J261" s="12">
        <f t="shared" si="75"/>
        <v>980000</v>
      </c>
      <c r="K261" s="13">
        <f>980000</f>
        <v>980000</v>
      </c>
      <c r="L261" s="13"/>
      <c r="M261" s="13"/>
      <c r="N261" s="13"/>
      <c r="O261" s="18">
        <f>980000</f>
        <v>980000</v>
      </c>
      <c r="P261" s="19">
        <f t="shared" si="52"/>
        <v>980000</v>
      </c>
    </row>
    <row r="262" spans="1:16" s="6" customFormat="1" ht="25.5" x14ac:dyDescent="0.2">
      <c r="A262" s="28" t="s">
        <v>188</v>
      </c>
      <c r="B262" s="7"/>
      <c r="C262" s="7"/>
      <c r="D262" s="8" t="s">
        <v>315</v>
      </c>
      <c r="E262" s="9">
        <f>E264+E270+E265</f>
        <v>46538413</v>
      </c>
      <c r="F262" s="10">
        <f>F264+F270+F265+F275</f>
        <v>25703913</v>
      </c>
      <c r="G262" s="10">
        <f t="shared" ref="G262:I262" si="77">G264+G270+G265</f>
        <v>8100000</v>
      </c>
      <c r="H262" s="10">
        <f t="shared" si="77"/>
        <v>245000</v>
      </c>
      <c r="I262" s="11">
        <f t="shared" si="77"/>
        <v>20834500</v>
      </c>
      <c r="J262" s="9">
        <f>J264+J270+J265+J275+J272+J269</f>
        <v>2432500</v>
      </c>
      <c r="K262" s="10">
        <f>K264+K270+K265+K275+K272+K269</f>
        <v>1432500</v>
      </c>
      <c r="L262" s="10">
        <f t="shared" ref="L262:N262" si="78">L264+L270+L265+L275+L272+L269</f>
        <v>0</v>
      </c>
      <c r="M262" s="10">
        <f t="shared" si="78"/>
        <v>0</v>
      </c>
      <c r="N262" s="10">
        <f t="shared" si="78"/>
        <v>0</v>
      </c>
      <c r="O262" s="11">
        <f>O264+O270+O265+O275+O272+O269</f>
        <v>2432500</v>
      </c>
      <c r="P262" s="14">
        <f t="shared" si="52"/>
        <v>48970913</v>
      </c>
    </row>
    <row r="263" spans="1:16" s="6" customFormat="1" ht="25.5" x14ac:dyDescent="0.2">
      <c r="A263" s="28" t="s">
        <v>189</v>
      </c>
      <c r="B263" s="7"/>
      <c r="C263" s="7"/>
      <c r="D263" s="8" t="s">
        <v>315</v>
      </c>
      <c r="E263" s="9"/>
      <c r="F263" s="10"/>
      <c r="G263" s="10"/>
      <c r="H263" s="10"/>
      <c r="I263" s="11"/>
      <c r="J263" s="12"/>
      <c r="K263" s="13"/>
      <c r="L263" s="10"/>
      <c r="M263" s="10"/>
      <c r="N263" s="10"/>
      <c r="O263" s="11"/>
      <c r="P263" s="14">
        <f t="shared" si="52"/>
        <v>0</v>
      </c>
    </row>
    <row r="264" spans="1:16" s="21" customFormat="1" ht="24" x14ac:dyDescent="0.2">
      <c r="A264" s="15" t="s">
        <v>190</v>
      </c>
      <c r="B264" s="16" t="s">
        <v>56</v>
      </c>
      <c r="C264" s="16" t="s">
        <v>20</v>
      </c>
      <c r="D264" s="17" t="s">
        <v>397</v>
      </c>
      <c r="E264" s="12">
        <f>F264+I264</f>
        <v>10400000</v>
      </c>
      <c r="F264" s="13">
        <v>10400000</v>
      </c>
      <c r="G264" s="13">
        <v>8100000</v>
      </c>
      <c r="H264" s="13">
        <v>245000</v>
      </c>
      <c r="I264" s="18"/>
      <c r="J264" s="12">
        <f t="shared" si="75"/>
        <v>0</v>
      </c>
      <c r="K264" s="13"/>
      <c r="L264" s="13"/>
      <c r="M264" s="13"/>
      <c r="N264" s="13"/>
      <c r="O264" s="18"/>
      <c r="P264" s="19">
        <f t="shared" si="52"/>
        <v>10400000</v>
      </c>
    </row>
    <row r="265" spans="1:16" s="21" customFormat="1" ht="12" x14ac:dyDescent="0.2">
      <c r="A265" s="15" t="s">
        <v>267</v>
      </c>
      <c r="B265" s="16" t="s">
        <v>13</v>
      </c>
      <c r="C265" s="16" t="s">
        <v>14</v>
      </c>
      <c r="D265" s="17" t="s">
        <v>150</v>
      </c>
      <c r="E265" s="12">
        <f>F265+I265</f>
        <v>15303913</v>
      </c>
      <c r="F265" s="13">
        <f>F267+F268</f>
        <v>15303913</v>
      </c>
      <c r="G265" s="13"/>
      <c r="H265" s="13"/>
      <c r="I265" s="18"/>
      <c r="J265" s="12">
        <f>L265+O265</f>
        <v>0</v>
      </c>
      <c r="K265" s="13"/>
      <c r="L265" s="13"/>
      <c r="M265" s="13"/>
      <c r="N265" s="13"/>
      <c r="O265" s="18"/>
      <c r="P265" s="19">
        <f t="shared" si="52"/>
        <v>15303913</v>
      </c>
    </row>
    <row r="266" spans="1:16" s="21" customFormat="1" ht="12" x14ac:dyDescent="0.2">
      <c r="A266" s="15"/>
      <c r="B266" s="16"/>
      <c r="C266" s="16"/>
      <c r="D266" s="17" t="s">
        <v>163</v>
      </c>
      <c r="E266" s="12"/>
      <c r="F266" s="13"/>
      <c r="G266" s="13"/>
      <c r="H266" s="13"/>
      <c r="I266" s="18"/>
      <c r="J266" s="12">
        <f t="shared" ref="J266:J267" si="79">L266+O266</f>
        <v>0</v>
      </c>
      <c r="K266" s="13"/>
      <c r="L266" s="13"/>
      <c r="M266" s="13"/>
      <c r="N266" s="13"/>
      <c r="O266" s="18"/>
      <c r="P266" s="19">
        <f t="shared" si="52"/>
        <v>0</v>
      </c>
    </row>
    <row r="267" spans="1:16" s="21" customFormat="1" ht="12" x14ac:dyDescent="0.2">
      <c r="A267" s="15" t="s">
        <v>267</v>
      </c>
      <c r="B267" s="16" t="s">
        <v>13</v>
      </c>
      <c r="C267" s="16" t="s">
        <v>14</v>
      </c>
      <c r="D267" s="17" t="s">
        <v>287</v>
      </c>
      <c r="E267" s="12">
        <f>F267+I267</f>
        <v>8603913</v>
      </c>
      <c r="F267" s="13">
        <f>10000000-1600000+203913</f>
        <v>8603913</v>
      </c>
      <c r="G267" s="13"/>
      <c r="H267" s="13"/>
      <c r="I267" s="18"/>
      <c r="J267" s="12">
        <f t="shared" si="79"/>
        <v>0</v>
      </c>
      <c r="K267" s="13"/>
      <c r="L267" s="13"/>
      <c r="M267" s="13"/>
      <c r="N267" s="13"/>
      <c r="O267" s="18"/>
      <c r="P267" s="19">
        <f t="shared" si="52"/>
        <v>8603913</v>
      </c>
    </row>
    <row r="268" spans="1:16" s="21" customFormat="1" ht="24" x14ac:dyDescent="0.2">
      <c r="A268" s="15" t="s">
        <v>267</v>
      </c>
      <c r="B268" s="16" t="s">
        <v>13</v>
      </c>
      <c r="C268" s="16" t="s">
        <v>14</v>
      </c>
      <c r="D268" s="63" t="s">
        <v>459</v>
      </c>
      <c r="E268" s="12">
        <f>F268+I268</f>
        <v>6700000</v>
      </c>
      <c r="F268" s="13">
        <v>6700000</v>
      </c>
      <c r="G268" s="13"/>
      <c r="H268" s="13"/>
      <c r="I268" s="18"/>
      <c r="J268" s="12"/>
      <c r="K268" s="13"/>
      <c r="L268" s="13"/>
      <c r="M268" s="13"/>
      <c r="N268" s="13"/>
      <c r="O268" s="18"/>
      <c r="P268" s="19">
        <f t="shared" si="52"/>
        <v>6700000</v>
      </c>
    </row>
    <row r="269" spans="1:16" s="21" customFormat="1" ht="12" x14ac:dyDescent="0.2">
      <c r="A269" s="15" t="s">
        <v>561</v>
      </c>
      <c r="B269" s="16" t="s">
        <v>210</v>
      </c>
      <c r="C269" s="16" t="s">
        <v>187</v>
      </c>
      <c r="D269" s="63" t="s">
        <v>421</v>
      </c>
      <c r="E269" s="12">
        <f>F269+I269</f>
        <v>0</v>
      </c>
      <c r="F269" s="13"/>
      <c r="G269" s="13"/>
      <c r="H269" s="13"/>
      <c r="I269" s="18"/>
      <c r="J269" s="12">
        <f t="shared" ref="J269:J271" si="80">L269+O269</f>
        <v>640000</v>
      </c>
      <c r="K269" s="13">
        <f>640000</f>
        <v>640000</v>
      </c>
      <c r="L269" s="13"/>
      <c r="M269" s="13"/>
      <c r="N269" s="13"/>
      <c r="O269" s="18">
        <f>640000</f>
        <v>640000</v>
      </c>
      <c r="P269" s="19">
        <f t="shared" si="52"/>
        <v>640000</v>
      </c>
    </row>
    <row r="270" spans="1:16" s="21" customFormat="1" ht="24" x14ac:dyDescent="0.2">
      <c r="A270" s="150" t="s">
        <v>191</v>
      </c>
      <c r="B270" s="151" t="s">
        <v>186</v>
      </c>
      <c r="C270" s="151" t="s">
        <v>187</v>
      </c>
      <c r="D270" s="17" t="s">
        <v>395</v>
      </c>
      <c r="E270" s="12">
        <f>F270+I270</f>
        <v>20834500</v>
      </c>
      <c r="F270" s="13">
        <f>F271</f>
        <v>0</v>
      </c>
      <c r="G270" s="13">
        <f t="shared" ref="G270:I270" si="81">G271</f>
        <v>0</v>
      </c>
      <c r="H270" s="13">
        <f t="shared" si="81"/>
        <v>0</v>
      </c>
      <c r="I270" s="18">
        <f t="shared" si="81"/>
        <v>20834500</v>
      </c>
      <c r="J270" s="12">
        <f t="shared" si="80"/>
        <v>0</v>
      </c>
      <c r="K270" s="13"/>
      <c r="L270" s="13"/>
      <c r="M270" s="13"/>
      <c r="N270" s="13"/>
      <c r="O270" s="18"/>
      <c r="P270" s="19">
        <f t="shared" si="52"/>
        <v>20834500</v>
      </c>
    </row>
    <row r="271" spans="1:16" s="21" customFormat="1" ht="12" x14ac:dyDescent="0.2">
      <c r="A271" s="150"/>
      <c r="B271" s="151"/>
      <c r="C271" s="151"/>
      <c r="D271" s="47" t="s">
        <v>396</v>
      </c>
      <c r="E271" s="12">
        <f>F271+I271</f>
        <v>20834500</v>
      </c>
      <c r="F271" s="13"/>
      <c r="G271" s="13"/>
      <c r="H271" s="13"/>
      <c r="I271" s="18">
        <f>10000000+10834500</f>
        <v>20834500</v>
      </c>
      <c r="J271" s="12">
        <f t="shared" si="80"/>
        <v>0</v>
      </c>
      <c r="K271" s="13"/>
      <c r="L271" s="13"/>
      <c r="M271" s="13"/>
      <c r="N271" s="13"/>
      <c r="O271" s="18"/>
      <c r="P271" s="19">
        <f t="shared" si="52"/>
        <v>20834500</v>
      </c>
    </row>
    <row r="272" spans="1:16" s="21" customFormat="1" ht="12" x14ac:dyDescent="0.2">
      <c r="A272" s="15" t="s">
        <v>517</v>
      </c>
      <c r="B272" s="16" t="s">
        <v>73</v>
      </c>
      <c r="C272" s="16" t="s">
        <v>23</v>
      </c>
      <c r="D272" s="17" t="s">
        <v>51</v>
      </c>
      <c r="E272" s="12"/>
      <c r="F272" s="13"/>
      <c r="G272" s="13"/>
      <c r="H272" s="13"/>
      <c r="I272" s="18"/>
      <c r="J272" s="12">
        <f t="shared" ref="J272:J274" si="82">L272+O272</f>
        <v>792500</v>
      </c>
      <c r="K272" s="13">
        <f>SUM(K273:K274)</f>
        <v>792500</v>
      </c>
      <c r="L272" s="13">
        <f t="shared" ref="L272:O272" si="83">SUM(L273:L274)</f>
        <v>0</v>
      </c>
      <c r="M272" s="13">
        <f t="shared" si="83"/>
        <v>0</v>
      </c>
      <c r="N272" s="13">
        <f t="shared" si="83"/>
        <v>0</v>
      </c>
      <c r="O272" s="18">
        <f t="shared" si="83"/>
        <v>792500</v>
      </c>
      <c r="P272" s="19">
        <f t="shared" si="52"/>
        <v>792500</v>
      </c>
    </row>
    <row r="273" spans="1:16" s="21" customFormat="1" ht="12" x14ac:dyDescent="0.2">
      <c r="A273" s="15"/>
      <c r="B273" s="16"/>
      <c r="C273" s="16"/>
      <c r="D273" s="17" t="s">
        <v>314</v>
      </c>
      <c r="E273" s="12"/>
      <c r="F273" s="13"/>
      <c r="G273" s="13"/>
      <c r="H273" s="13"/>
      <c r="I273" s="18"/>
      <c r="J273" s="12">
        <f t="shared" si="82"/>
        <v>0</v>
      </c>
      <c r="K273" s="13"/>
      <c r="L273" s="13"/>
      <c r="M273" s="13"/>
      <c r="N273" s="13"/>
      <c r="O273" s="18"/>
      <c r="P273" s="19">
        <f t="shared" si="52"/>
        <v>0</v>
      </c>
    </row>
    <row r="274" spans="1:16" s="21" customFormat="1" ht="12" x14ac:dyDescent="0.2">
      <c r="A274" s="15"/>
      <c r="B274" s="16"/>
      <c r="C274" s="16"/>
      <c r="D274" s="17" t="s">
        <v>518</v>
      </c>
      <c r="E274" s="12"/>
      <c r="F274" s="13"/>
      <c r="G274" s="13"/>
      <c r="H274" s="13"/>
      <c r="I274" s="18"/>
      <c r="J274" s="12">
        <f t="shared" si="82"/>
        <v>792500</v>
      </c>
      <c r="K274" s="13">
        <f>792500</f>
        <v>792500</v>
      </c>
      <c r="L274" s="13"/>
      <c r="M274" s="13"/>
      <c r="N274" s="13"/>
      <c r="O274" s="18">
        <f>792500</f>
        <v>792500</v>
      </c>
      <c r="P274" s="19">
        <f t="shared" si="52"/>
        <v>792500</v>
      </c>
    </row>
    <row r="275" spans="1:16" s="21" customFormat="1" ht="72" x14ac:dyDescent="0.2">
      <c r="A275" s="15" t="s">
        <v>417</v>
      </c>
      <c r="B275" s="16" t="s">
        <v>236</v>
      </c>
      <c r="C275" s="16" t="s">
        <v>23</v>
      </c>
      <c r="D275" s="17" t="s">
        <v>237</v>
      </c>
      <c r="E275" s="12"/>
      <c r="F275" s="13"/>
      <c r="G275" s="13"/>
      <c r="H275" s="13"/>
      <c r="I275" s="18"/>
      <c r="J275" s="12">
        <f t="shared" ref="J275" si="84">L275+O275</f>
        <v>1000000</v>
      </c>
      <c r="K275" s="13"/>
      <c r="L275" s="13"/>
      <c r="M275" s="13"/>
      <c r="N275" s="13"/>
      <c r="O275" s="18">
        <v>1000000</v>
      </c>
      <c r="P275" s="19">
        <f t="shared" si="52"/>
        <v>1000000</v>
      </c>
    </row>
    <row r="276" spans="1:16" s="21" customFormat="1" ht="38.25" customHeight="1" x14ac:dyDescent="0.2">
      <c r="A276" s="28" t="s">
        <v>402</v>
      </c>
      <c r="B276" s="16"/>
      <c r="C276" s="16"/>
      <c r="D276" s="8" t="s">
        <v>441</v>
      </c>
      <c r="E276" s="9">
        <f>E278</f>
        <v>3800000</v>
      </c>
      <c r="F276" s="10">
        <f t="shared" ref="F276:I276" si="85">F278</f>
        <v>3800000</v>
      </c>
      <c r="G276" s="10">
        <f t="shared" si="85"/>
        <v>2800000</v>
      </c>
      <c r="H276" s="10">
        <f t="shared" si="85"/>
        <v>60000</v>
      </c>
      <c r="I276" s="11">
        <f t="shared" si="85"/>
        <v>0</v>
      </c>
      <c r="J276" s="12"/>
      <c r="K276" s="13"/>
      <c r="L276" s="13"/>
      <c r="M276" s="13"/>
      <c r="N276" s="13"/>
      <c r="O276" s="18"/>
      <c r="P276" s="19">
        <f t="shared" si="52"/>
        <v>3800000</v>
      </c>
    </row>
    <row r="277" spans="1:16" s="21" customFormat="1" ht="42" customHeight="1" x14ac:dyDescent="0.2">
      <c r="A277" s="28" t="s">
        <v>403</v>
      </c>
      <c r="B277" s="16"/>
      <c r="C277" s="16"/>
      <c r="D277" s="8" t="s">
        <v>442</v>
      </c>
      <c r="E277" s="12"/>
      <c r="F277" s="13"/>
      <c r="G277" s="13"/>
      <c r="H277" s="13"/>
      <c r="I277" s="18"/>
      <c r="J277" s="12"/>
      <c r="K277" s="13"/>
      <c r="L277" s="13"/>
      <c r="M277" s="13"/>
      <c r="N277" s="13"/>
      <c r="O277" s="18"/>
      <c r="P277" s="19">
        <f t="shared" si="52"/>
        <v>0</v>
      </c>
    </row>
    <row r="278" spans="1:16" s="21" customFormat="1" ht="24" x14ac:dyDescent="0.2">
      <c r="A278" s="15" t="s">
        <v>404</v>
      </c>
      <c r="B278" s="16" t="s">
        <v>56</v>
      </c>
      <c r="C278" s="16" t="s">
        <v>20</v>
      </c>
      <c r="D278" s="17" t="s">
        <v>397</v>
      </c>
      <c r="E278" s="12">
        <f>F278+I278</f>
        <v>3800000</v>
      </c>
      <c r="F278" s="13">
        <v>3800000</v>
      </c>
      <c r="G278" s="13">
        <v>2800000</v>
      </c>
      <c r="H278" s="13">
        <v>60000</v>
      </c>
      <c r="I278" s="18"/>
      <c r="J278" s="12"/>
      <c r="K278" s="13"/>
      <c r="L278" s="13"/>
      <c r="M278" s="13"/>
      <c r="N278" s="13"/>
      <c r="O278" s="18"/>
      <c r="P278" s="19">
        <f t="shared" si="52"/>
        <v>3800000</v>
      </c>
    </row>
    <row r="279" spans="1:16" s="21" customFormat="1" ht="25.5" x14ac:dyDescent="0.2">
      <c r="A279" s="28" t="s">
        <v>141</v>
      </c>
      <c r="B279" s="16"/>
      <c r="C279" s="16"/>
      <c r="D279" s="8" t="s">
        <v>278</v>
      </c>
      <c r="E279" s="9">
        <f>F279+I279</f>
        <v>186000000</v>
      </c>
      <c r="F279" s="10">
        <f>F281+F283+F282+F284</f>
        <v>186000000</v>
      </c>
      <c r="G279" s="10">
        <f>G281+G283+G282+G284</f>
        <v>7200000</v>
      </c>
      <c r="H279" s="10">
        <f>H281+H283+H282+H284</f>
        <v>74000</v>
      </c>
      <c r="I279" s="11">
        <f>I281+I283+I282+I284</f>
        <v>0</v>
      </c>
      <c r="J279" s="9">
        <f t="shared" ref="J279:O279" si="86">SUM(J281:J284)</f>
        <v>500000</v>
      </c>
      <c r="K279" s="10">
        <f t="shared" si="86"/>
        <v>500000</v>
      </c>
      <c r="L279" s="10">
        <f t="shared" si="86"/>
        <v>0</v>
      </c>
      <c r="M279" s="10">
        <f t="shared" si="86"/>
        <v>0</v>
      </c>
      <c r="N279" s="10">
        <f t="shared" si="86"/>
        <v>0</v>
      </c>
      <c r="O279" s="11">
        <f t="shared" si="86"/>
        <v>500000</v>
      </c>
      <c r="P279" s="14">
        <f t="shared" si="52"/>
        <v>186500000</v>
      </c>
    </row>
    <row r="280" spans="1:16" s="21" customFormat="1" ht="25.5" x14ac:dyDescent="0.2">
      <c r="A280" s="28" t="s">
        <v>142</v>
      </c>
      <c r="B280" s="16"/>
      <c r="C280" s="16"/>
      <c r="D280" s="8" t="s">
        <v>278</v>
      </c>
      <c r="E280" s="12">
        <f t="shared" ref="E280" si="87">F280+I280</f>
        <v>0</v>
      </c>
      <c r="F280" s="13"/>
      <c r="G280" s="13"/>
      <c r="H280" s="13"/>
      <c r="I280" s="18"/>
      <c r="J280" s="12"/>
      <c r="K280" s="13"/>
      <c r="L280" s="13"/>
      <c r="M280" s="13"/>
      <c r="N280" s="13"/>
      <c r="O280" s="18"/>
      <c r="P280" s="14">
        <f t="shared" ref="P280:P347" si="88">E280+J280</f>
        <v>0</v>
      </c>
    </row>
    <row r="281" spans="1:16" s="21" customFormat="1" ht="24" x14ac:dyDescent="0.2">
      <c r="A281" s="15" t="s">
        <v>143</v>
      </c>
      <c r="B281" s="16" t="s">
        <v>56</v>
      </c>
      <c r="C281" s="16" t="s">
        <v>20</v>
      </c>
      <c r="D281" s="17" t="s">
        <v>397</v>
      </c>
      <c r="E281" s="12">
        <f>F281+I281</f>
        <v>11500000</v>
      </c>
      <c r="F281" s="13">
        <v>11500000</v>
      </c>
      <c r="G281" s="13">
        <v>7200000</v>
      </c>
      <c r="H281" s="13">
        <v>74000</v>
      </c>
      <c r="I281" s="18"/>
      <c r="J281" s="12">
        <f t="shared" si="75"/>
        <v>0</v>
      </c>
      <c r="K281" s="13"/>
      <c r="L281" s="13"/>
      <c r="M281" s="13"/>
      <c r="N281" s="13"/>
      <c r="O281" s="18"/>
      <c r="P281" s="19">
        <f t="shared" si="88"/>
        <v>11500000</v>
      </c>
    </row>
    <row r="282" spans="1:16" s="21" customFormat="1" ht="12" x14ac:dyDescent="0.2">
      <c r="A282" s="15" t="s">
        <v>199</v>
      </c>
      <c r="B282" s="16" t="s">
        <v>13</v>
      </c>
      <c r="C282" s="16" t="s">
        <v>14</v>
      </c>
      <c r="D282" s="17" t="s">
        <v>150</v>
      </c>
      <c r="E282" s="12">
        <f>F282+I282</f>
        <v>679700</v>
      </c>
      <c r="F282" s="13">
        <v>679700</v>
      </c>
      <c r="G282" s="13"/>
      <c r="H282" s="13"/>
      <c r="I282" s="18"/>
      <c r="J282" s="12">
        <f>L282+O282</f>
        <v>0</v>
      </c>
      <c r="K282" s="13"/>
      <c r="L282" s="13"/>
      <c r="M282" s="13"/>
      <c r="N282" s="13"/>
      <c r="O282" s="18"/>
      <c r="P282" s="19">
        <f t="shared" si="88"/>
        <v>679700</v>
      </c>
    </row>
    <row r="283" spans="1:16" s="21" customFormat="1" ht="12" x14ac:dyDescent="0.2">
      <c r="A283" s="15" t="s">
        <v>144</v>
      </c>
      <c r="B283" s="16" t="s">
        <v>86</v>
      </c>
      <c r="C283" s="16" t="s">
        <v>22</v>
      </c>
      <c r="D283" s="17" t="s">
        <v>87</v>
      </c>
      <c r="E283" s="12">
        <f t="shared" ref="E283:E284" si="89">F283+I283</f>
        <v>3820300</v>
      </c>
      <c r="F283" s="13">
        <v>3820300</v>
      </c>
      <c r="G283" s="13"/>
      <c r="H283" s="13"/>
      <c r="I283" s="18"/>
      <c r="J283" s="12">
        <f t="shared" si="75"/>
        <v>500000</v>
      </c>
      <c r="K283" s="13">
        <f>500000</f>
        <v>500000</v>
      </c>
      <c r="L283" s="13"/>
      <c r="M283" s="13"/>
      <c r="N283" s="13"/>
      <c r="O283" s="18">
        <f>500000</f>
        <v>500000</v>
      </c>
      <c r="P283" s="19">
        <f t="shared" si="88"/>
        <v>4320300</v>
      </c>
    </row>
    <row r="284" spans="1:16" s="21" customFormat="1" ht="24" x14ac:dyDescent="0.2">
      <c r="A284" s="15" t="s">
        <v>204</v>
      </c>
      <c r="B284" s="16" t="s">
        <v>205</v>
      </c>
      <c r="C284" s="16" t="s">
        <v>202</v>
      </c>
      <c r="D284" s="17" t="s">
        <v>206</v>
      </c>
      <c r="E284" s="12">
        <f t="shared" si="89"/>
        <v>170000000</v>
      </c>
      <c r="F284" s="13">
        <v>170000000</v>
      </c>
      <c r="G284" s="13"/>
      <c r="H284" s="13"/>
      <c r="I284" s="18"/>
      <c r="J284" s="12">
        <f t="shared" si="75"/>
        <v>0</v>
      </c>
      <c r="K284" s="13"/>
      <c r="L284" s="13"/>
      <c r="M284" s="13"/>
      <c r="N284" s="13"/>
      <c r="O284" s="18"/>
      <c r="P284" s="19">
        <f t="shared" si="88"/>
        <v>170000000</v>
      </c>
    </row>
    <row r="285" spans="1:16" s="6" customFormat="1" ht="51" x14ac:dyDescent="0.2">
      <c r="A285" s="28" t="s">
        <v>306</v>
      </c>
      <c r="B285" s="7"/>
      <c r="C285" s="7"/>
      <c r="D285" s="8" t="s">
        <v>309</v>
      </c>
      <c r="E285" s="9">
        <f t="shared" ref="E285:O285" si="90">E287+E288+E292+E291</f>
        <v>29051437</v>
      </c>
      <c r="F285" s="10">
        <f>F287+F288+F292+F291</f>
        <v>29051437</v>
      </c>
      <c r="G285" s="10">
        <f t="shared" si="90"/>
        <v>4100000</v>
      </c>
      <c r="H285" s="10">
        <f t="shared" si="90"/>
        <v>0</v>
      </c>
      <c r="I285" s="11">
        <f t="shared" si="90"/>
        <v>0</v>
      </c>
      <c r="J285" s="9">
        <f t="shared" si="90"/>
        <v>100000</v>
      </c>
      <c r="K285" s="10">
        <f t="shared" si="90"/>
        <v>100000</v>
      </c>
      <c r="L285" s="10">
        <f t="shared" si="90"/>
        <v>0</v>
      </c>
      <c r="M285" s="10">
        <f t="shared" si="90"/>
        <v>0</v>
      </c>
      <c r="N285" s="10">
        <f t="shared" si="90"/>
        <v>0</v>
      </c>
      <c r="O285" s="11">
        <f t="shared" si="90"/>
        <v>100000</v>
      </c>
      <c r="P285" s="14">
        <f>E285+J285</f>
        <v>29151437</v>
      </c>
    </row>
    <row r="286" spans="1:16" s="6" customFormat="1" ht="51" x14ac:dyDescent="0.2">
      <c r="A286" s="28" t="s">
        <v>307</v>
      </c>
      <c r="B286" s="7"/>
      <c r="C286" s="7"/>
      <c r="D286" s="8" t="s">
        <v>309</v>
      </c>
      <c r="E286" s="9"/>
      <c r="F286" s="10"/>
      <c r="G286" s="10"/>
      <c r="H286" s="10"/>
      <c r="I286" s="11"/>
      <c r="J286" s="12">
        <f t="shared" ref="J286" si="91">L286+O286</f>
        <v>0</v>
      </c>
      <c r="K286" s="13"/>
      <c r="L286" s="10"/>
      <c r="M286" s="10"/>
      <c r="N286" s="10"/>
      <c r="O286" s="11"/>
      <c r="P286" s="14">
        <f t="shared" si="88"/>
        <v>0</v>
      </c>
    </row>
    <row r="287" spans="1:16" s="21" customFormat="1" ht="24" x14ac:dyDescent="0.2">
      <c r="A287" s="15" t="s">
        <v>308</v>
      </c>
      <c r="B287" s="16" t="s">
        <v>56</v>
      </c>
      <c r="C287" s="16" t="s">
        <v>20</v>
      </c>
      <c r="D287" s="17" t="s">
        <v>397</v>
      </c>
      <c r="E287" s="12">
        <f>F287+I287</f>
        <v>5600000</v>
      </c>
      <c r="F287" s="13">
        <v>5600000</v>
      </c>
      <c r="G287" s="13">
        <v>4100000</v>
      </c>
      <c r="H287" s="13"/>
      <c r="I287" s="18"/>
      <c r="J287" s="12">
        <f>L287+O287</f>
        <v>0</v>
      </c>
      <c r="K287" s="13"/>
      <c r="L287" s="13"/>
      <c r="M287" s="13"/>
      <c r="N287" s="13"/>
      <c r="O287" s="18"/>
      <c r="P287" s="19">
        <f t="shared" si="88"/>
        <v>5600000</v>
      </c>
    </row>
    <row r="288" spans="1:16" s="21" customFormat="1" ht="12" x14ac:dyDescent="0.2">
      <c r="A288" s="15" t="s">
        <v>310</v>
      </c>
      <c r="B288" s="16" t="s">
        <v>13</v>
      </c>
      <c r="C288" s="16" t="s">
        <v>14</v>
      </c>
      <c r="D288" s="17" t="s">
        <v>150</v>
      </c>
      <c r="E288" s="12">
        <f>F288+I288</f>
        <v>5000000</v>
      </c>
      <c r="F288" s="13">
        <f>5000000</f>
        <v>5000000</v>
      </c>
      <c r="G288" s="13"/>
      <c r="H288" s="13">
        <f t="shared" ref="H288:O288" si="92">H290</f>
        <v>0</v>
      </c>
      <c r="I288" s="18">
        <f t="shared" si="92"/>
        <v>0</v>
      </c>
      <c r="J288" s="12">
        <f>J290</f>
        <v>0</v>
      </c>
      <c r="K288" s="13">
        <f t="shared" si="92"/>
        <v>0</v>
      </c>
      <c r="L288" s="13">
        <f t="shared" si="92"/>
        <v>0</v>
      </c>
      <c r="M288" s="13">
        <f t="shared" si="92"/>
        <v>0</v>
      </c>
      <c r="N288" s="13">
        <f t="shared" si="92"/>
        <v>0</v>
      </c>
      <c r="O288" s="18">
        <f t="shared" si="92"/>
        <v>0</v>
      </c>
      <c r="P288" s="19">
        <f t="shared" si="88"/>
        <v>5000000</v>
      </c>
    </row>
    <row r="289" spans="1:16" s="21" customFormat="1" ht="12" x14ac:dyDescent="0.2">
      <c r="A289" s="15"/>
      <c r="B289" s="16"/>
      <c r="C289" s="16"/>
      <c r="D289" s="17" t="s">
        <v>314</v>
      </c>
      <c r="E289" s="12">
        <f t="shared" ref="E289" si="93">F289+I289</f>
        <v>0</v>
      </c>
      <c r="F289" s="13"/>
      <c r="G289" s="13"/>
      <c r="H289" s="13"/>
      <c r="I289" s="18"/>
      <c r="J289" s="12"/>
      <c r="K289" s="13"/>
      <c r="L289" s="13"/>
      <c r="M289" s="13"/>
      <c r="N289" s="13"/>
      <c r="O289" s="18"/>
      <c r="P289" s="19">
        <f t="shared" si="88"/>
        <v>0</v>
      </c>
    </row>
    <row r="290" spans="1:16" s="21" customFormat="1" ht="24" x14ac:dyDescent="0.2">
      <c r="A290" s="15"/>
      <c r="B290" s="16"/>
      <c r="C290" s="16"/>
      <c r="D290" s="22" t="s">
        <v>436</v>
      </c>
      <c r="E290" s="12">
        <f>F290</f>
        <v>5000000</v>
      </c>
      <c r="F290" s="13">
        <v>5000000</v>
      </c>
      <c r="G290" s="13"/>
      <c r="H290" s="13"/>
      <c r="I290" s="18"/>
      <c r="J290" s="12">
        <f>L290+O290</f>
        <v>0</v>
      </c>
      <c r="K290" s="13"/>
      <c r="L290" s="13"/>
      <c r="M290" s="13"/>
      <c r="N290" s="13"/>
      <c r="O290" s="18"/>
      <c r="P290" s="19">
        <f t="shared" si="88"/>
        <v>5000000</v>
      </c>
    </row>
    <row r="291" spans="1:16" s="21" customFormat="1" ht="12" x14ac:dyDescent="0.2">
      <c r="A291" s="15" t="s">
        <v>319</v>
      </c>
      <c r="B291" s="16" t="s">
        <v>71</v>
      </c>
      <c r="C291" s="16" t="s">
        <v>42</v>
      </c>
      <c r="D291" s="17" t="s">
        <v>462</v>
      </c>
      <c r="E291" s="12">
        <f>F291</f>
        <v>11600000</v>
      </c>
      <c r="F291" s="13">
        <v>11600000</v>
      </c>
      <c r="G291" s="13"/>
      <c r="H291" s="13"/>
      <c r="I291" s="18"/>
      <c r="J291" s="12">
        <f>L291+O291</f>
        <v>100000</v>
      </c>
      <c r="K291" s="13">
        <f>100000</f>
        <v>100000</v>
      </c>
      <c r="L291" s="13"/>
      <c r="M291" s="13"/>
      <c r="N291" s="13"/>
      <c r="O291" s="18">
        <f>100000</f>
        <v>100000</v>
      </c>
      <c r="P291" s="19">
        <f t="shared" si="88"/>
        <v>11700000</v>
      </c>
    </row>
    <row r="292" spans="1:16" s="21" customFormat="1" ht="12" x14ac:dyDescent="0.2">
      <c r="A292" s="15" t="s">
        <v>311</v>
      </c>
      <c r="B292" s="16" t="s">
        <v>273</v>
      </c>
      <c r="C292" s="16" t="s">
        <v>42</v>
      </c>
      <c r="D292" s="22" t="s">
        <v>463</v>
      </c>
      <c r="E292" s="12">
        <f>F292</f>
        <v>6851437</v>
      </c>
      <c r="F292" s="13">
        <f>3900000+849876+322980+49500+1560060+122896+46125</f>
        <v>6851437</v>
      </c>
      <c r="G292" s="13"/>
      <c r="H292" s="13"/>
      <c r="I292" s="18"/>
      <c r="J292" s="12">
        <f>L292+O292</f>
        <v>0</v>
      </c>
      <c r="K292" s="13"/>
      <c r="L292" s="13"/>
      <c r="M292" s="13"/>
      <c r="N292" s="13"/>
      <c r="O292" s="18"/>
      <c r="P292" s="19">
        <f t="shared" si="88"/>
        <v>6851437</v>
      </c>
    </row>
    <row r="293" spans="1:16" s="6" customFormat="1" ht="38.25" x14ac:dyDescent="0.2">
      <c r="A293" s="28" t="s">
        <v>301</v>
      </c>
      <c r="B293" s="7"/>
      <c r="C293" s="7"/>
      <c r="D293" s="8" t="s">
        <v>443</v>
      </c>
      <c r="E293" s="9">
        <f>E295+E296+E298</f>
        <v>10517500</v>
      </c>
      <c r="F293" s="10">
        <f>F295+F296+F298</f>
        <v>10517500</v>
      </c>
      <c r="G293" s="10">
        <f t="shared" ref="G293:O293" si="94">G295+G296+G298</f>
        <v>6200000</v>
      </c>
      <c r="H293" s="10">
        <f t="shared" si="94"/>
        <v>128000</v>
      </c>
      <c r="I293" s="11">
        <f t="shared" si="94"/>
        <v>0</v>
      </c>
      <c r="J293" s="9">
        <f>J295+J296+J298</f>
        <v>10067405</v>
      </c>
      <c r="K293" s="10">
        <f t="shared" si="94"/>
        <v>10067405</v>
      </c>
      <c r="L293" s="10">
        <f t="shared" si="94"/>
        <v>0</v>
      </c>
      <c r="M293" s="10">
        <f t="shared" si="94"/>
        <v>0</v>
      </c>
      <c r="N293" s="10">
        <f t="shared" si="94"/>
        <v>0</v>
      </c>
      <c r="O293" s="11">
        <f t="shared" si="94"/>
        <v>10067405</v>
      </c>
      <c r="P293" s="14">
        <f t="shared" si="88"/>
        <v>20584905</v>
      </c>
    </row>
    <row r="294" spans="1:16" s="6" customFormat="1" ht="38.25" x14ac:dyDescent="0.2">
      <c r="A294" s="28" t="s">
        <v>302</v>
      </c>
      <c r="B294" s="7"/>
      <c r="C294" s="7"/>
      <c r="D294" s="8" t="s">
        <v>443</v>
      </c>
      <c r="E294" s="9"/>
      <c r="F294" s="10"/>
      <c r="G294" s="10"/>
      <c r="H294" s="10"/>
      <c r="I294" s="11"/>
      <c r="J294" s="12">
        <f t="shared" ref="J294:J302" si="95">L294+O294</f>
        <v>0</v>
      </c>
      <c r="K294" s="13"/>
      <c r="L294" s="10"/>
      <c r="M294" s="10"/>
      <c r="N294" s="10"/>
      <c r="O294" s="11"/>
      <c r="P294" s="14">
        <f t="shared" si="88"/>
        <v>0</v>
      </c>
    </row>
    <row r="295" spans="1:16" s="21" customFormat="1" ht="24" x14ac:dyDescent="0.2">
      <c r="A295" s="15" t="s">
        <v>303</v>
      </c>
      <c r="B295" s="16" t="s">
        <v>56</v>
      </c>
      <c r="C295" s="16" t="s">
        <v>20</v>
      </c>
      <c r="D295" s="17" t="s">
        <v>397</v>
      </c>
      <c r="E295" s="12">
        <f>F295+I295</f>
        <v>7900000</v>
      </c>
      <c r="F295" s="13">
        <v>7900000</v>
      </c>
      <c r="G295" s="13">
        <v>6200000</v>
      </c>
      <c r="H295" s="13">
        <v>128000</v>
      </c>
      <c r="I295" s="18"/>
      <c r="J295" s="12">
        <f t="shared" si="95"/>
        <v>0</v>
      </c>
      <c r="K295" s="13"/>
      <c r="L295" s="13"/>
      <c r="M295" s="13"/>
      <c r="N295" s="13"/>
      <c r="O295" s="18"/>
      <c r="P295" s="19">
        <f t="shared" si="88"/>
        <v>7900000</v>
      </c>
    </row>
    <row r="296" spans="1:16" s="21" customFormat="1" ht="12" x14ac:dyDescent="0.2">
      <c r="A296" s="15" t="s">
        <v>304</v>
      </c>
      <c r="B296" s="16" t="s">
        <v>168</v>
      </c>
      <c r="C296" s="16" t="s">
        <v>169</v>
      </c>
      <c r="D296" s="22" t="s">
        <v>248</v>
      </c>
      <c r="E296" s="12">
        <f>F296+I296</f>
        <v>155000</v>
      </c>
      <c r="F296" s="13">
        <f>F297</f>
        <v>155000</v>
      </c>
      <c r="G296" s="13"/>
      <c r="H296" s="13"/>
      <c r="I296" s="18"/>
      <c r="J296" s="12">
        <f t="shared" si="95"/>
        <v>0</v>
      </c>
      <c r="K296" s="13"/>
      <c r="L296" s="13"/>
      <c r="M296" s="13"/>
      <c r="N296" s="13"/>
      <c r="O296" s="18"/>
      <c r="P296" s="19">
        <f t="shared" si="88"/>
        <v>155000</v>
      </c>
    </row>
    <row r="297" spans="1:16" s="21" customFormat="1" ht="24" x14ac:dyDescent="0.2">
      <c r="A297" s="15"/>
      <c r="B297" s="16"/>
      <c r="C297" s="16"/>
      <c r="D297" s="22" t="s">
        <v>585</v>
      </c>
      <c r="E297" s="12">
        <f>F297+I297</f>
        <v>155000</v>
      </c>
      <c r="F297" s="13">
        <f>500000-345000</f>
        <v>155000</v>
      </c>
      <c r="G297" s="13"/>
      <c r="H297" s="13"/>
      <c r="I297" s="18"/>
      <c r="J297" s="12">
        <f t="shared" si="95"/>
        <v>0</v>
      </c>
      <c r="K297" s="13"/>
      <c r="L297" s="13"/>
      <c r="M297" s="13"/>
      <c r="N297" s="13"/>
      <c r="O297" s="18"/>
      <c r="P297" s="19">
        <f t="shared" si="88"/>
        <v>155000</v>
      </c>
    </row>
    <row r="298" spans="1:16" s="21" customFormat="1" ht="12" x14ac:dyDescent="0.2">
      <c r="A298" s="15" t="s">
        <v>305</v>
      </c>
      <c r="B298" s="24" t="s">
        <v>252</v>
      </c>
      <c r="C298" s="16" t="s">
        <v>23</v>
      </c>
      <c r="D298" s="23" t="s">
        <v>174</v>
      </c>
      <c r="E298" s="12">
        <f>F298+I298</f>
        <v>2462500</v>
      </c>
      <c r="F298" s="13">
        <f>F300+F301+F302+F303+F304+F305</f>
        <v>2462500</v>
      </c>
      <c r="G298" s="13">
        <f t="shared" ref="G298:I298" si="96">G300+G301+G302+G303+G304+G305</f>
        <v>0</v>
      </c>
      <c r="H298" s="13">
        <f t="shared" si="96"/>
        <v>0</v>
      </c>
      <c r="I298" s="18">
        <f t="shared" si="96"/>
        <v>0</v>
      </c>
      <c r="J298" s="12">
        <f t="shared" si="95"/>
        <v>10067405</v>
      </c>
      <c r="K298" s="13">
        <f>SUM(K299:K305)</f>
        <v>10067405</v>
      </c>
      <c r="L298" s="13">
        <f t="shared" ref="L298:O298" si="97">SUM(L299:L305)</f>
        <v>0</v>
      </c>
      <c r="M298" s="13">
        <f t="shared" si="97"/>
        <v>0</v>
      </c>
      <c r="N298" s="13">
        <f t="shared" si="97"/>
        <v>0</v>
      </c>
      <c r="O298" s="18">
        <f t="shared" si="97"/>
        <v>10067405</v>
      </c>
      <c r="P298" s="19">
        <f t="shared" si="88"/>
        <v>12529905</v>
      </c>
    </row>
    <row r="299" spans="1:16" s="21" customFormat="1" ht="12" x14ac:dyDescent="0.2">
      <c r="A299" s="15"/>
      <c r="B299" s="24"/>
      <c r="C299" s="16"/>
      <c r="D299" s="23" t="s">
        <v>261</v>
      </c>
      <c r="E299" s="12"/>
      <c r="F299" s="13"/>
      <c r="G299" s="13"/>
      <c r="H299" s="13"/>
      <c r="I299" s="18"/>
      <c r="J299" s="12">
        <f t="shared" si="95"/>
        <v>0</v>
      </c>
      <c r="K299" s="13"/>
      <c r="L299" s="13"/>
      <c r="M299" s="13"/>
      <c r="N299" s="13"/>
      <c r="O299" s="18"/>
      <c r="P299" s="19">
        <f t="shared" si="88"/>
        <v>0</v>
      </c>
    </row>
    <row r="300" spans="1:16" s="21" customFormat="1" ht="24" x14ac:dyDescent="0.2">
      <c r="A300" s="15"/>
      <c r="B300" s="16"/>
      <c r="C300" s="16"/>
      <c r="D300" s="22" t="s">
        <v>322</v>
      </c>
      <c r="E300" s="12">
        <f t="shared" ref="E300:E305" si="98">F300+I300</f>
        <v>388500</v>
      </c>
      <c r="F300" s="13">
        <f>950000-770000+157500+51000</f>
        <v>388500</v>
      </c>
      <c r="G300" s="13"/>
      <c r="H300" s="13"/>
      <c r="I300" s="18"/>
      <c r="J300" s="12">
        <f t="shared" si="95"/>
        <v>0</v>
      </c>
      <c r="K300" s="13"/>
      <c r="L300" s="13"/>
      <c r="M300" s="13"/>
      <c r="N300" s="13"/>
      <c r="O300" s="18"/>
      <c r="P300" s="19">
        <f t="shared" si="88"/>
        <v>388500</v>
      </c>
    </row>
    <row r="301" spans="1:16" s="21" customFormat="1" ht="36" x14ac:dyDescent="0.2">
      <c r="A301" s="15"/>
      <c r="B301" s="16"/>
      <c r="C301" s="16"/>
      <c r="D301" s="23" t="s">
        <v>326</v>
      </c>
      <c r="E301" s="12">
        <f t="shared" si="98"/>
        <v>110000</v>
      </c>
      <c r="F301" s="13">
        <f>700000-590000</f>
        <v>110000</v>
      </c>
      <c r="G301" s="13"/>
      <c r="H301" s="13"/>
      <c r="I301" s="18"/>
      <c r="J301" s="12">
        <f t="shared" si="95"/>
        <v>0</v>
      </c>
      <c r="K301" s="13"/>
      <c r="L301" s="13"/>
      <c r="M301" s="13"/>
      <c r="N301" s="13"/>
      <c r="O301" s="18"/>
      <c r="P301" s="19">
        <f t="shared" si="88"/>
        <v>110000</v>
      </c>
    </row>
    <row r="302" spans="1:16" s="21" customFormat="1" ht="40.15" customHeight="1" x14ac:dyDescent="0.2">
      <c r="A302" s="15"/>
      <c r="B302" s="16"/>
      <c r="C302" s="16"/>
      <c r="D302" s="63" t="s">
        <v>414</v>
      </c>
      <c r="E302" s="12">
        <f t="shared" si="98"/>
        <v>305000</v>
      </c>
      <c r="F302" s="13">
        <f>1000000-695000</f>
        <v>305000</v>
      </c>
      <c r="G302" s="13"/>
      <c r="H302" s="13"/>
      <c r="I302" s="18"/>
      <c r="J302" s="12">
        <f t="shared" si="95"/>
        <v>0</v>
      </c>
      <c r="K302" s="13"/>
      <c r="L302" s="13"/>
      <c r="M302" s="13"/>
      <c r="N302" s="13"/>
      <c r="O302" s="18"/>
      <c r="P302" s="19">
        <f t="shared" si="88"/>
        <v>305000</v>
      </c>
    </row>
    <row r="303" spans="1:16" s="21" customFormat="1" ht="36" x14ac:dyDescent="0.2">
      <c r="A303" s="15"/>
      <c r="B303" s="16"/>
      <c r="C303" s="16"/>
      <c r="D303" s="63" t="s">
        <v>432</v>
      </c>
      <c r="E303" s="12">
        <f t="shared" si="98"/>
        <v>1494000</v>
      </c>
      <c r="F303" s="13">
        <f>1000000+104000+390000</f>
        <v>1494000</v>
      </c>
      <c r="G303" s="13"/>
      <c r="H303" s="13"/>
      <c r="I303" s="18"/>
      <c r="J303" s="12">
        <f t="shared" ref="J303:J305" si="99">L303+O303</f>
        <v>10067405</v>
      </c>
      <c r="K303" s="13">
        <f>10118405-51000</f>
        <v>10067405</v>
      </c>
      <c r="L303" s="13"/>
      <c r="M303" s="13"/>
      <c r="N303" s="13"/>
      <c r="O303" s="18">
        <f>10118405-51000</f>
        <v>10067405</v>
      </c>
      <c r="P303" s="19">
        <f t="shared" si="88"/>
        <v>11561405</v>
      </c>
    </row>
    <row r="304" spans="1:16" s="21" customFormat="1" ht="36" x14ac:dyDescent="0.2">
      <c r="A304" s="15"/>
      <c r="B304" s="16"/>
      <c r="C304" s="16"/>
      <c r="D304" s="27" t="s">
        <v>456</v>
      </c>
      <c r="E304" s="12">
        <f t="shared" si="98"/>
        <v>50000</v>
      </c>
      <c r="F304" s="13">
        <f>2700000-2546000-104000</f>
        <v>50000</v>
      </c>
      <c r="G304" s="13"/>
      <c r="H304" s="13"/>
      <c r="I304" s="18"/>
      <c r="J304" s="12">
        <f t="shared" si="99"/>
        <v>0</v>
      </c>
      <c r="K304" s="13"/>
      <c r="L304" s="13"/>
      <c r="M304" s="13"/>
      <c r="N304" s="13"/>
      <c r="O304" s="18"/>
      <c r="P304" s="19">
        <f t="shared" si="88"/>
        <v>50000</v>
      </c>
    </row>
    <row r="305" spans="1:16" s="21" customFormat="1" ht="24" x14ac:dyDescent="0.2">
      <c r="A305" s="15"/>
      <c r="B305" s="16"/>
      <c r="C305" s="16"/>
      <c r="D305" s="27" t="s">
        <v>457</v>
      </c>
      <c r="E305" s="12">
        <f t="shared" si="98"/>
        <v>115000</v>
      </c>
      <c r="F305" s="13">
        <v>115000</v>
      </c>
      <c r="G305" s="13"/>
      <c r="H305" s="13"/>
      <c r="I305" s="18"/>
      <c r="J305" s="12">
        <f t="shared" si="99"/>
        <v>0</v>
      </c>
      <c r="K305" s="13"/>
      <c r="L305" s="13"/>
      <c r="M305" s="13"/>
      <c r="N305" s="13"/>
      <c r="O305" s="18"/>
      <c r="P305" s="19">
        <f t="shared" si="88"/>
        <v>115000</v>
      </c>
    </row>
    <row r="306" spans="1:16" s="6" customFormat="1" ht="25.5" x14ac:dyDescent="0.2">
      <c r="A306" s="28" t="s">
        <v>177</v>
      </c>
      <c r="B306" s="7"/>
      <c r="C306" s="7"/>
      <c r="D306" s="8" t="s">
        <v>318</v>
      </c>
      <c r="E306" s="9">
        <f>F306+I306</f>
        <v>10650000</v>
      </c>
      <c r="F306" s="10">
        <f>F308+F309+F310+F312+F316+F319</f>
        <v>10650000</v>
      </c>
      <c r="G306" s="10">
        <f t="shared" ref="G306:O306" si="100">G308+G309+G310+G312+G316+G319</f>
        <v>6200000</v>
      </c>
      <c r="H306" s="10">
        <f t="shared" si="100"/>
        <v>100000</v>
      </c>
      <c r="I306" s="11">
        <f t="shared" si="100"/>
        <v>0</v>
      </c>
      <c r="J306" s="9">
        <f t="shared" si="100"/>
        <v>13000000</v>
      </c>
      <c r="K306" s="10">
        <f t="shared" si="100"/>
        <v>13000000</v>
      </c>
      <c r="L306" s="10">
        <f t="shared" si="100"/>
        <v>0</v>
      </c>
      <c r="M306" s="10">
        <f t="shared" si="100"/>
        <v>0</v>
      </c>
      <c r="N306" s="10">
        <f t="shared" si="100"/>
        <v>0</v>
      </c>
      <c r="O306" s="11">
        <f t="shared" si="100"/>
        <v>13000000</v>
      </c>
      <c r="P306" s="14">
        <f>E306+J306</f>
        <v>23650000</v>
      </c>
    </row>
    <row r="307" spans="1:16" s="6" customFormat="1" ht="25.5" x14ac:dyDescent="0.2">
      <c r="A307" s="28" t="s">
        <v>170</v>
      </c>
      <c r="B307" s="7"/>
      <c r="C307" s="7"/>
      <c r="D307" s="8" t="s">
        <v>318</v>
      </c>
      <c r="E307" s="9"/>
      <c r="F307" s="10"/>
      <c r="G307" s="10"/>
      <c r="H307" s="10"/>
      <c r="I307" s="11"/>
      <c r="J307" s="12">
        <f t="shared" ref="J307:J308" si="101">L307+O307</f>
        <v>0</v>
      </c>
      <c r="K307" s="13"/>
      <c r="L307" s="10"/>
      <c r="M307" s="10"/>
      <c r="N307" s="10"/>
      <c r="O307" s="11"/>
      <c r="P307" s="14">
        <f t="shared" si="88"/>
        <v>0</v>
      </c>
    </row>
    <row r="308" spans="1:16" s="21" customFormat="1" ht="24" x14ac:dyDescent="0.2">
      <c r="A308" s="15" t="s">
        <v>171</v>
      </c>
      <c r="B308" s="16" t="s">
        <v>56</v>
      </c>
      <c r="C308" s="16" t="s">
        <v>20</v>
      </c>
      <c r="D308" s="17" t="s">
        <v>397</v>
      </c>
      <c r="E308" s="12">
        <f>F308+I308</f>
        <v>7700000</v>
      </c>
      <c r="F308" s="13">
        <v>7700000</v>
      </c>
      <c r="G308" s="13">
        <v>6200000</v>
      </c>
      <c r="H308" s="13">
        <v>100000</v>
      </c>
      <c r="I308" s="18"/>
      <c r="J308" s="12">
        <f t="shared" si="101"/>
        <v>0</v>
      </c>
      <c r="K308" s="13"/>
      <c r="L308" s="13"/>
      <c r="M308" s="13"/>
      <c r="N308" s="13"/>
      <c r="O308" s="18"/>
      <c r="P308" s="19">
        <f t="shared" si="88"/>
        <v>7700000</v>
      </c>
    </row>
    <row r="309" spans="1:16" s="21" customFormat="1" ht="24" x14ac:dyDescent="0.2">
      <c r="A309" s="15" t="s">
        <v>246</v>
      </c>
      <c r="B309" s="16" t="s">
        <v>247</v>
      </c>
      <c r="C309" s="16" t="s">
        <v>23</v>
      </c>
      <c r="D309" s="17" t="s">
        <v>89</v>
      </c>
      <c r="E309" s="12">
        <f t="shared" ref="E309:E318" si="102">F309+I309</f>
        <v>1000000</v>
      </c>
      <c r="F309" s="13">
        <v>1000000</v>
      </c>
      <c r="G309" s="13"/>
      <c r="H309" s="13"/>
      <c r="I309" s="18"/>
      <c r="J309" s="12">
        <f t="shared" ref="J309:J313" si="103">L309+O309</f>
        <v>0</v>
      </c>
      <c r="K309" s="13"/>
      <c r="L309" s="13"/>
      <c r="M309" s="13"/>
      <c r="N309" s="13"/>
      <c r="O309" s="18"/>
      <c r="P309" s="19">
        <f t="shared" si="88"/>
        <v>1000000</v>
      </c>
    </row>
    <row r="310" spans="1:16" s="21" customFormat="1" ht="24" x14ac:dyDescent="0.2">
      <c r="A310" s="15" t="s">
        <v>176</v>
      </c>
      <c r="B310" s="16" t="s">
        <v>90</v>
      </c>
      <c r="C310" s="16" t="s">
        <v>24</v>
      </c>
      <c r="D310" s="17" t="s">
        <v>378</v>
      </c>
      <c r="E310" s="12">
        <f t="shared" si="102"/>
        <v>1000000</v>
      </c>
      <c r="F310" s="13">
        <f>F311</f>
        <v>1000000</v>
      </c>
      <c r="G310" s="13"/>
      <c r="H310" s="13"/>
      <c r="I310" s="18"/>
      <c r="J310" s="12">
        <f t="shared" si="103"/>
        <v>0</v>
      </c>
      <c r="K310" s="13"/>
      <c r="L310" s="13"/>
      <c r="M310" s="13"/>
      <c r="N310" s="13"/>
      <c r="O310" s="18"/>
      <c r="P310" s="19">
        <f t="shared" si="88"/>
        <v>1000000</v>
      </c>
    </row>
    <row r="311" spans="1:16" s="21" customFormat="1" ht="24" x14ac:dyDescent="0.2">
      <c r="A311" s="15"/>
      <c r="B311" s="16"/>
      <c r="C311" s="16"/>
      <c r="D311" s="63" t="s">
        <v>435</v>
      </c>
      <c r="E311" s="12">
        <f t="shared" si="102"/>
        <v>1000000</v>
      </c>
      <c r="F311" s="13">
        <v>1000000</v>
      </c>
      <c r="G311" s="13"/>
      <c r="H311" s="13"/>
      <c r="I311" s="18"/>
      <c r="J311" s="12"/>
      <c r="K311" s="13"/>
      <c r="L311" s="13"/>
      <c r="M311" s="13"/>
      <c r="N311" s="13"/>
      <c r="O311" s="18"/>
      <c r="P311" s="19">
        <f t="shared" si="88"/>
        <v>1000000</v>
      </c>
    </row>
    <row r="312" spans="1:16" s="21" customFormat="1" ht="12" x14ac:dyDescent="0.2">
      <c r="A312" s="15" t="s">
        <v>172</v>
      </c>
      <c r="B312" s="16" t="s">
        <v>173</v>
      </c>
      <c r="C312" s="16" t="s">
        <v>169</v>
      </c>
      <c r="D312" s="22" t="s">
        <v>379</v>
      </c>
      <c r="E312" s="12">
        <f>F312+I312</f>
        <v>750000</v>
      </c>
      <c r="F312" s="13">
        <f>F313+F314+F315</f>
        <v>750000</v>
      </c>
      <c r="G312" s="13"/>
      <c r="H312" s="13"/>
      <c r="I312" s="18"/>
      <c r="J312" s="12">
        <f t="shared" si="103"/>
        <v>0</v>
      </c>
      <c r="K312" s="13"/>
      <c r="L312" s="13"/>
      <c r="M312" s="13"/>
      <c r="N312" s="13"/>
      <c r="O312" s="18"/>
      <c r="P312" s="19">
        <f t="shared" si="88"/>
        <v>750000</v>
      </c>
    </row>
    <row r="313" spans="1:16" s="21" customFormat="1" ht="24" x14ac:dyDescent="0.2">
      <c r="A313" s="15"/>
      <c r="B313" s="16"/>
      <c r="C313" s="16"/>
      <c r="D313" s="22" t="s">
        <v>380</v>
      </c>
      <c r="E313" s="12">
        <f t="shared" si="102"/>
        <v>150000</v>
      </c>
      <c r="F313" s="13">
        <v>150000</v>
      </c>
      <c r="G313" s="13"/>
      <c r="H313" s="13"/>
      <c r="I313" s="18"/>
      <c r="J313" s="12">
        <f t="shared" si="103"/>
        <v>0</v>
      </c>
      <c r="K313" s="13"/>
      <c r="L313" s="13"/>
      <c r="M313" s="13"/>
      <c r="N313" s="13"/>
      <c r="O313" s="18"/>
      <c r="P313" s="19">
        <f t="shared" si="88"/>
        <v>150000</v>
      </c>
    </row>
    <row r="314" spans="1:16" s="21" customFormat="1" ht="48" x14ac:dyDescent="0.2">
      <c r="A314" s="15"/>
      <c r="B314" s="16"/>
      <c r="C314" s="16"/>
      <c r="D314" s="22" t="s">
        <v>434</v>
      </c>
      <c r="E314" s="12">
        <f t="shared" si="102"/>
        <v>600000</v>
      </c>
      <c r="F314" s="13">
        <v>600000</v>
      </c>
      <c r="G314" s="13"/>
      <c r="H314" s="13"/>
      <c r="I314" s="18"/>
      <c r="J314" s="12"/>
      <c r="K314" s="13"/>
      <c r="L314" s="13"/>
      <c r="M314" s="13"/>
      <c r="N314" s="13"/>
      <c r="O314" s="18"/>
      <c r="P314" s="19">
        <f t="shared" si="88"/>
        <v>600000</v>
      </c>
    </row>
    <row r="315" spans="1:16" s="21" customFormat="1" ht="36" hidden="1" x14ac:dyDescent="0.2">
      <c r="A315" s="15"/>
      <c r="B315" s="16"/>
      <c r="C315" s="16"/>
      <c r="D315" s="22" t="s">
        <v>471</v>
      </c>
      <c r="E315" s="12">
        <f t="shared" si="102"/>
        <v>0</v>
      </c>
      <c r="F315" s="13">
        <f>600000-600000</f>
        <v>0</v>
      </c>
      <c r="G315" s="13"/>
      <c r="H315" s="13"/>
      <c r="I315" s="18"/>
      <c r="J315" s="12"/>
      <c r="K315" s="13"/>
      <c r="L315" s="13"/>
      <c r="M315" s="13"/>
      <c r="N315" s="13"/>
      <c r="O315" s="18"/>
      <c r="P315" s="19">
        <f t="shared" si="88"/>
        <v>0</v>
      </c>
    </row>
    <row r="316" spans="1:16" s="21" customFormat="1" ht="12" x14ac:dyDescent="0.2">
      <c r="A316" s="15" t="s">
        <v>323</v>
      </c>
      <c r="B316" s="16" t="s">
        <v>73</v>
      </c>
      <c r="C316" s="16" t="s">
        <v>23</v>
      </c>
      <c r="D316" s="17" t="s">
        <v>12</v>
      </c>
      <c r="E316" s="12">
        <f t="shared" si="102"/>
        <v>0</v>
      </c>
      <c r="F316" s="13"/>
      <c r="G316" s="13"/>
      <c r="H316" s="13"/>
      <c r="I316" s="18"/>
      <c r="J316" s="12">
        <f>L316+O316</f>
        <v>13000000</v>
      </c>
      <c r="K316" s="13">
        <f>SUM(K317:K318)</f>
        <v>13000000</v>
      </c>
      <c r="L316" s="13">
        <f t="shared" ref="L316" si="104">SUM(L317:L318)</f>
        <v>0</v>
      </c>
      <c r="M316" s="13">
        <f t="shared" ref="M316" si="105">SUM(M317:M318)</f>
        <v>0</v>
      </c>
      <c r="N316" s="13">
        <f t="shared" ref="N316" si="106">SUM(N317:N318)</f>
        <v>0</v>
      </c>
      <c r="O316" s="18">
        <f t="shared" ref="O316" si="107">SUM(O317:O318)</f>
        <v>13000000</v>
      </c>
      <c r="P316" s="19">
        <f t="shared" si="88"/>
        <v>13000000</v>
      </c>
    </row>
    <row r="317" spans="1:16" s="21" customFormat="1" ht="12" x14ac:dyDescent="0.2">
      <c r="A317" s="15"/>
      <c r="B317" s="16"/>
      <c r="C317" s="16"/>
      <c r="D317" s="17" t="s">
        <v>163</v>
      </c>
      <c r="E317" s="12">
        <f t="shared" si="102"/>
        <v>0</v>
      </c>
      <c r="F317" s="13"/>
      <c r="G317" s="13"/>
      <c r="H317" s="13"/>
      <c r="I317" s="18"/>
      <c r="J317" s="12"/>
      <c r="K317" s="13"/>
      <c r="L317" s="13"/>
      <c r="M317" s="13"/>
      <c r="N317" s="13"/>
      <c r="O317" s="18"/>
      <c r="P317" s="19">
        <f t="shared" si="88"/>
        <v>0</v>
      </c>
    </row>
    <row r="318" spans="1:16" s="21" customFormat="1" ht="12" x14ac:dyDescent="0.2">
      <c r="A318" s="15"/>
      <c r="B318" s="16"/>
      <c r="C318" s="16"/>
      <c r="D318" s="17" t="s">
        <v>427</v>
      </c>
      <c r="E318" s="12">
        <f t="shared" si="102"/>
        <v>0</v>
      </c>
      <c r="F318" s="13"/>
      <c r="G318" s="13"/>
      <c r="H318" s="13"/>
      <c r="I318" s="18"/>
      <c r="J318" s="12">
        <f>L318+O318</f>
        <v>13000000</v>
      </c>
      <c r="K318" s="13">
        <f>9000000+4000000</f>
        <v>13000000</v>
      </c>
      <c r="L318" s="13"/>
      <c r="M318" s="13"/>
      <c r="N318" s="13"/>
      <c r="O318" s="18">
        <f>9000000+4000000</f>
        <v>13000000</v>
      </c>
      <c r="P318" s="19">
        <f t="shared" si="88"/>
        <v>13000000</v>
      </c>
    </row>
    <row r="319" spans="1:16" s="21" customFormat="1" ht="12" x14ac:dyDescent="0.2">
      <c r="A319" s="15" t="s">
        <v>472</v>
      </c>
      <c r="B319" s="16" t="s">
        <v>473</v>
      </c>
      <c r="C319" s="16" t="s">
        <v>475</v>
      </c>
      <c r="D319" s="17" t="s">
        <v>474</v>
      </c>
      <c r="E319" s="12">
        <f>F319+I319</f>
        <v>200000</v>
      </c>
      <c r="F319" s="13">
        <v>200000</v>
      </c>
      <c r="G319" s="13"/>
      <c r="H319" s="13"/>
      <c r="I319" s="18"/>
      <c r="J319" s="12">
        <f>L319+O319</f>
        <v>0</v>
      </c>
      <c r="K319" s="13"/>
      <c r="L319" s="13"/>
      <c r="M319" s="13"/>
      <c r="N319" s="13"/>
      <c r="O319" s="18"/>
      <c r="P319" s="19">
        <f>E319+J319</f>
        <v>200000</v>
      </c>
    </row>
    <row r="320" spans="1:16" s="6" customFormat="1" ht="25.5" x14ac:dyDescent="0.2">
      <c r="A320" s="28" t="s">
        <v>178</v>
      </c>
      <c r="B320" s="7"/>
      <c r="C320" s="7"/>
      <c r="D320" s="8" t="s">
        <v>444</v>
      </c>
      <c r="E320" s="9">
        <f t="shared" ref="E320:H320" si="108">E322+E323+E324+E325+E326+E332</f>
        <v>30250000</v>
      </c>
      <c r="F320" s="10">
        <f t="shared" si="108"/>
        <v>23450000</v>
      </c>
      <c r="G320" s="10">
        <f t="shared" si="108"/>
        <v>15300000</v>
      </c>
      <c r="H320" s="10">
        <f t="shared" si="108"/>
        <v>230000</v>
      </c>
      <c r="I320" s="11">
        <f>I322+I323+I324+I325+I326+I332</f>
        <v>6800000</v>
      </c>
      <c r="J320" s="9">
        <f>J322+J323+J324+J325+J326+J332+J329</f>
        <v>3620000</v>
      </c>
      <c r="K320" s="10">
        <f t="shared" ref="K320:O320" si="109">K322+K323+K324+K325+K326+K332+K329</f>
        <v>3520000</v>
      </c>
      <c r="L320" s="10">
        <f t="shared" si="109"/>
        <v>100000</v>
      </c>
      <c r="M320" s="10">
        <f t="shared" si="109"/>
        <v>0</v>
      </c>
      <c r="N320" s="10">
        <f t="shared" si="109"/>
        <v>0</v>
      </c>
      <c r="O320" s="11">
        <f t="shared" si="109"/>
        <v>3520000</v>
      </c>
      <c r="P320" s="14">
        <f>E320+J320</f>
        <v>33870000</v>
      </c>
    </row>
    <row r="321" spans="1:16" s="6" customFormat="1" ht="25.5" x14ac:dyDescent="0.2">
      <c r="A321" s="28" t="s">
        <v>179</v>
      </c>
      <c r="B321" s="7"/>
      <c r="C321" s="7"/>
      <c r="D321" s="8" t="s">
        <v>445</v>
      </c>
      <c r="E321" s="9"/>
      <c r="F321" s="10"/>
      <c r="G321" s="10"/>
      <c r="H321" s="10"/>
      <c r="I321" s="11"/>
      <c r="J321" s="12">
        <f>L321+O321</f>
        <v>0</v>
      </c>
      <c r="K321" s="13"/>
      <c r="L321" s="10"/>
      <c r="M321" s="10"/>
      <c r="N321" s="10"/>
      <c r="O321" s="11"/>
      <c r="P321" s="14">
        <f t="shared" si="88"/>
        <v>0</v>
      </c>
    </row>
    <row r="322" spans="1:16" s="21" customFormat="1" ht="24" x14ac:dyDescent="0.2">
      <c r="A322" s="15" t="s">
        <v>180</v>
      </c>
      <c r="B322" s="16" t="s">
        <v>56</v>
      </c>
      <c r="C322" s="16" t="s">
        <v>20</v>
      </c>
      <c r="D322" s="17" t="s">
        <v>397</v>
      </c>
      <c r="E322" s="12">
        <f>F322+I322</f>
        <v>19500000</v>
      </c>
      <c r="F322" s="13">
        <v>19500000</v>
      </c>
      <c r="G322" s="13">
        <v>15300000</v>
      </c>
      <c r="H322" s="13">
        <v>230000</v>
      </c>
      <c r="I322" s="18"/>
      <c r="J322" s="12">
        <f>L322+O322</f>
        <v>0</v>
      </c>
      <c r="K322" s="13"/>
      <c r="L322" s="13"/>
      <c r="M322" s="13"/>
      <c r="N322" s="13"/>
      <c r="O322" s="18"/>
      <c r="P322" s="19">
        <f t="shared" si="88"/>
        <v>19500000</v>
      </c>
    </row>
    <row r="323" spans="1:16" s="21" customFormat="1" ht="12" x14ac:dyDescent="0.2">
      <c r="A323" s="15" t="s">
        <v>460</v>
      </c>
      <c r="B323" s="16" t="s">
        <v>13</v>
      </c>
      <c r="C323" s="16" t="s">
        <v>14</v>
      </c>
      <c r="D323" s="17" t="s">
        <v>166</v>
      </c>
      <c r="E323" s="12">
        <f>F323+I323</f>
        <v>100000</v>
      </c>
      <c r="F323" s="13">
        <v>100000</v>
      </c>
      <c r="G323" s="13"/>
      <c r="H323" s="13"/>
      <c r="I323" s="18"/>
      <c r="J323" s="12"/>
      <c r="K323" s="13"/>
      <c r="L323" s="13"/>
      <c r="M323" s="13"/>
      <c r="N323" s="13"/>
      <c r="O323" s="18"/>
      <c r="P323" s="19">
        <f t="shared" si="88"/>
        <v>100000</v>
      </c>
    </row>
    <row r="324" spans="1:16" s="21" customFormat="1" ht="12" x14ac:dyDescent="0.2">
      <c r="A324" s="15" t="s">
        <v>407</v>
      </c>
      <c r="B324" s="16" t="s">
        <v>408</v>
      </c>
      <c r="C324" s="16" t="s">
        <v>183</v>
      </c>
      <c r="D324" s="17" t="s">
        <v>409</v>
      </c>
      <c r="E324" s="12">
        <f>F324+I324</f>
        <v>3500000</v>
      </c>
      <c r="F324" s="13">
        <v>3500000</v>
      </c>
      <c r="G324" s="13"/>
      <c r="H324" s="13"/>
      <c r="I324" s="18"/>
      <c r="J324" s="12">
        <f t="shared" ref="J324:J331" si="110">L324+O324</f>
        <v>0</v>
      </c>
      <c r="K324" s="13"/>
      <c r="L324" s="13"/>
      <c r="M324" s="13"/>
      <c r="N324" s="13"/>
      <c r="O324" s="18"/>
      <c r="P324" s="19">
        <f t="shared" si="88"/>
        <v>3500000</v>
      </c>
    </row>
    <row r="325" spans="1:16" s="21" customFormat="1" ht="12" x14ac:dyDescent="0.2">
      <c r="A325" s="15" t="s">
        <v>181</v>
      </c>
      <c r="B325" s="16" t="s">
        <v>182</v>
      </c>
      <c r="C325" s="16" t="s">
        <v>183</v>
      </c>
      <c r="D325" s="17" t="s">
        <v>184</v>
      </c>
      <c r="E325" s="12">
        <f>F325+I325</f>
        <v>350000</v>
      </c>
      <c r="F325" s="13">
        <v>350000</v>
      </c>
      <c r="G325" s="13"/>
      <c r="H325" s="13"/>
      <c r="I325" s="18"/>
      <c r="J325" s="12">
        <f t="shared" si="110"/>
        <v>0</v>
      </c>
      <c r="K325" s="13"/>
      <c r="L325" s="13"/>
      <c r="M325" s="13"/>
      <c r="N325" s="13"/>
      <c r="O325" s="18"/>
      <c r="P325" s="19">
        <f t="shared" si="88"/>
        <v>350000</v>
      </c>
    </row>
    <row r="326" spans="1:16" s="21" customFormat="1" ht="12" x14ac:dyDescent="0.2">
      <c r="A326" s="15" t="s">
        <v>406</v>
      </c>
      <c r="B326" s="16" t="s">
        <v>376</v>
      </c>
      <c r="C326" s="16" t="s">
        <v>183</v>
      </c>
      <c r="D326" s="17" t="s">
        <v>377</v>
      </c>
      <c r="E326" s="12">
        <f t="shared" ref="E326" si="111">F326+I326</f>
        <v>6800000</v>
      </c>
      <c r="F326" s="13">
        <f>F328</f>
        <v>0</v>
      </c>
      <c r="G326" s="13">
        <f t="shared" ref="G326:I326" si="112">G328</f>
        <v>0</v>
      </c>
      <c r="H326" s="13">
        <f t="shared" si="112"/>
        <v>0</v>
      </c>
      <c r="I326" s="18">
        <f t="shared" si="112"/>
        <v>6800000</v>
      </c>
      <c r="J326" s="12">
        <f t="shared" si="110"/>
        <v>0</v>
      </c>
      <c r="K326" s="13"/>
      <c r="L326" s="13"/>
      <c r="M326" s="13"/>
      <c r="N326" s="13"/>
      <c r="O326" s="18"/>
      <c r="P326" s="19">
        <f t="shared" si="88"/>
        <v>6800000</v>
      </c>
    </row>
    <row r="327" spans="1:16" s="21" customFormat="1" ht="12" x14ac:dyDescent="0.2">
      <c r="A327" s="15"/>
      <c r="B327" s="16"/>
      <c r="C327" s="16"/>
      <c r="D327" s="23" t="s">
        <v>175</v>
      </c>
      <c r="E327" s="12"/>
      <c r="F327" s="13"/>
      <c r="G327" s="13"/>
      <c r="H327" s="13"/>
      <c r="I327" s="18"/>
      <c r="J327" s="12">
        <f t="shared" si="110"/>
        <v>0</v>
      </c>
      <c r="K327" s="13"/>
      <c r="L327" s="13"/>
      <c r="M327" s="13"/>
      <c r="N327" s="13"/>
      <c r="O327" s="18"/>
      <c r="P327" s="19">
        <f t="shared" si="88"/>
        <v>0</v>
      </c>
    </row>
    <row r="328" spans="1:16" s="21" customFormat="1" ht="24" x14ac:dyDescent="0.2">
      <c r="A328" s="15"/>
      <c r="B328" s="16"/>
      <c r="C328" s="16"/>
      <c r="D328" s="23" t="s">
        <v>458</v>
      </c>
      <c r="E328" s="12">
        <f t="shared" ref="E328" si="113">F328+I328</f>
        <v>6800000</v>
      </c>
      <c r="F328" s="13"/>
      <c r="G328" s="13"/>
      <c r="H328" s="13"/>
      <c r="I328" s="18">
        <v>6800000</v>
      </c>
      <c r="J328" s="12">
        <f t="shared" si="110"/>
        <v>0</v>
      </c>
      <c r="K328" s="13"/>
      <c r="L328" s="13"/>
      <c r="M328" s="13"/>
      <c r="N328" s="13"/>
      <c r="O328" s="18"/>
      <c r="P328" s="19">
        <f t="shared" si="88"/>
        <v>6800000</v>
      </c>
    </row>
    <row r="329" spans="1:16" s="21" customFormat="1" ht="12" x14ac:dyDescent="0.2">
      <c r="A329" s="15" t="s">
        <v>503</v>
      </c>
      <c r="B329" s="16" t="s">
        <v>73</v>
      </c>
      <c r="C329" s="16" t="s">
        <v>23</v>
      </c>
      <c r="D329" s="23" t="s">
        <v>12</v>
      </c>
      <c r="E329" s="12"/>
      <c r="F329" s="13"/>
      <c r="G329" s="13"/>
      <c r="H329" s="13"/>
      <c r="I329" s="18"/>
      <c r="J329" s="12">
        <f>L329+O329</f>
        <v>3520000</v>
      </c>
      <c r="K329" s="13">
        <f>SUM(K330:K331)</f>
        <v>3520000</v>
      </c>
      <c r="L329" s="13">
        <f t="shared" ref="L329:O329" si="114">SUM(L330:L331)</f>
        <v>0</v>
      </c>
      <c r="M329" s="13">
        <f t="shared" si="114"/>
        <v>0</v>
      </c>
      <c r="N329" s="13">
        <f t="shared" si="114"/>
        <v>0</v>
      </c>
      <c r="O329" s="18">
        <f t="shared" si="114"/>
        <v>3520000</v>
      </c>
      <c r="P329" s="19">
        <f t="shared" si="88"/>
        <v>3520000</v>
      </c>
    </row>
    <row r="330" spans="1:16" s="21" customFormat="1" ht="12" x14ac:dyDescent="0.2">
      <c r="A330" s="15"/>
      <c r="B330" s="16"/>
      <c r="C330" s="16"/>
      <c r="D330" s="23" t="s">
        <v>504</v>
      </c>
      <c r="E330" s="12"/>
      <c r="F330" s="13"/>
      <c r="G330" s="13"/>
      <c r="H330" s="13"/>
      <c r="I330" s="18"/>
      <c r="J330" s="12">
        <f t="shared" si="110"/>
        <v>0</v>
      </c>
      <c r="K330" s="13"/>
      <c r="L330" s="13"/>
      <c r="M330" s="13"/>
      <c r="N330" s="13"/>
      <c r="O330" s="18"/>
      <c r="P330" s="19">
        <f t="shared" si="88"/>
        <v>0</v>
      </c>
    </row>
    <row r="331" spans="1:16" s="21" customFormat="1" ht="12" x14ac:dyDescent="0.2">
      <c r="A331" s="15"/>
      <c r="B331" s="16"/>
      <c r="C331" s="16"/>
      <c r="D331" s="23" t="s">
        <v>505</v>
      </c>
      <c r="E331" s="12"/>
      <c r="F331" s="13"/>
      <c r="G331" s="13"/>
      <c r="H331" s="13"/>
      <c r="I331" s="18"/>
      <c r="J331" s="12">
        <f t="shared" si="110"/>
        <v>3520000</v>
      </c>
      <c r="K331" s="13">
        <f>3520000</f>
        <v>3520000</v>
      </c>
      <c r="L331" s="13"/>
      <c r="M331" s="13"/>
      <c r="N331" s="13"/>
      <c r="O331" s="18">
        <f>3520000</f>
        <v>3520000</v>
      </c>
      <c r="P331" s="19">
        <f t="shared" si="88"/>
        <v>3520000</v>
      </c>
    </row>
    <row r="332" spans="1:16" s="21" customFormat="1" ht="72" x14ac:dyDescent="0.2">
      <c r="A332" s="15" t="s">
        <v>476</v>
      </c>
      <c r="B332" s="16" t="s">
        <v>236</v>
      </c>
      <c r="C332" s="16" t="s">
        <v>23</v>
      </c>
      <c r="D332" s="17" t="s">
        <v>237</v>
      </c>
      <c r="E332" s="12"/>
      <c r="F332" s="13"/>
      <c r="G332" s="13"/>
      <c r="H332" s="13"/>
      <c r="I332" s="18"/>
      <c r="J332" s="12">
        <f t="shared" ref="J332" si="115">L332+O332</f>
        <v>100000</v>
      </c>
      <c r="K332" s="13"/>
      <c r="L332" s="13">
        <v>100000</v>
      </c>
      <c r="M332" s="13"/>
      <c r="N332" s="13"/>
      <c r="O332" s="18"/>
      <c r="P332" s="19">
        <f t="shared" si="88"/>
        <v>100000</v>
      </c>
    </row>
    <row r="333" spans="1:16" s="6" customFormat="1" ht="38.25" customHeight="1" x14ac:dyDescent="0.2">
      <c r="A333" s="28" t="s">
        <v>297</v>
      </c>
      <c r="B333" s="7"/>
      <c r="C333" s="7"/>
      <c r="D333" s="8" t="s">
        <v>300</v>
      </c>
      <c r="E333" s="9">
        <f>E335</f>
        <v>37340000</v>
      </c>
      <c r="F333" s="10">
        <f t="shared" ref="F333:O333" si="116">F335</f>
        <v>37340000</v>
      </c>
      <c r="G333" s="10">
        <f t="shared" si="116"/>
        <v>27200000</v>
      </c>
      <c r="H333" s="10">
        <f t="shared" si="116"/>
        <v>2150000</v>
      </c>
      <c r="I333" s="11">
        <f t="shared" si="116"/>
        <v>0</v>
      </c>
      <c r="J333" s="9">
        <f t="shared" si="116"/>
        <v>0</v>
      </c>
      <c r="K333" s="10">
        <f t="shared" si="116"/>
        <v>0</v>
      </c>
      <c r="L333" s="10">
        <f t="shared" si="116"/>
        <v>0</v>
      </c>
      <c r="M333" s="10">
        <f t="shared" si="116"/>
        <v>0</v>
      </c>
      <c r="N333" s="10">
        <f t="shared" si="116"/>
        <v>0</v>
      </c>
      <c r="O333" s="11">
        <f t="shared" si="116"/>
        <v>0</v>
      </c>
      <c r="P333" s="14">
        <f t="shared" si="88"/>
        <v>37340000</v>
      </c>
    </row>
    <row r="334" spans="1:16" s="6" customFormat="1" ht="42.75" customHeight="1" x14ac:dyDescent="0.2">
      <c r="A334" s="28" t="s">
        <v>298</v>
      </c>
      <c r="B334" s="7"/>
      <c r="C334" s="7"/>
      <c r="D334" s="8" t="s">
        <v>300</v>
      </c>
      <c r="E334" s="9"/>
      <c r="F334" s="10"/>
      <c r="G334" s="10"/>
      <c r="H334" s="10"/>
      <c r="I334" s="11"/>
      <c r="J334" s="12">
        <f>L334+O334</f>
        <v>0</v>
      </c>
      <c r="K334" s="13"/>
      <c r="L334" s="10"/>
      <c r="M334" s="10"/>
      <c r="N334" s="10"/>
      <c r="O334" s="11"/>
      <c r="P334" s="14">
        <f t="shared" si="88"/>
        <v>0</v>
      </c>
    </row>
    <row r="335" spans="1:16" s="21" customFormat="1" ht="24" x14ac:dyDescent="0.2">
      <c r="A335" s="15" t="s">
        <v>299</v>
      </c>
      <c r="B335" s="16" t="s">
        <v>56</v>
      </c>
      <c r="C335" s="16" t="s">
        <v>20</v>
      </c>
      <c r="D335" s="17" t="s">
        <v>397</v>
      </c>
      <c r="E335" s="12">
        <f>F335+I335</f>
        <v>37340000</v>
      </c>
      <c r="F335" s="13">
        <f>37300000+15000+25000</f>
        <v>37340000</v>
      </c>
      <c r="G335" s="13">
        <v>27200000</v>
      </c>
      <c r="H335" s="13">
        <f>2100000+50000</f>
        <v>2150000</v>
      </c>
      <c r="I335" s="18"/>
      <c r="J335" s="12">
        <v>0</v>
      </c>
      <c r="K335" s="13"/>
      <c r="L335" s="13"/>
      <c r="M335" s="13"/>
      <c r="N335" s="13"/>
      <c r="O335" s="18"/>
      <c r="P335" s="19">
        <f t="shared" si="88"/>
        <v>37340000</v>
      </c>
    </row>
    <row r="336" spans="1:16" s="6" customFormat="1" ht="12.75" x14ac:dyDescent="0.2">
      <c r="A336" s="28" t="s">
        <v>106</v>
      </c>
      <c r="B336" s="7"/>
      <c r="C336" s="7"/>
      <c r="D336" s="8" t="s">
        <v>327</v>
      </c>
      <c r="E336" s="9">
        <f>E338+E339+E345+E346+E349+E347+E348</f>
        <v>307015598</v>
      </c>
      <c r="F336" s="10">
        <f>F338+F339+F345+F346+F349+F347+F348</f>
        <v>288091906</v>
      </c>
      <c r="G336" s="10">
        <f t="shared" ref="G336:N336" si="117">G338+G339+G345+G346+G349+G347</f>
        <v>12500000</v>
      </c>
      <c r="H336" s="10">
        <f t="shared" si="117"/>
        <v>822000</v>
      </c>
      <c r="I336" s="11">
        <f t="shared" si="117"/>
        <v>0</v>
      </c>
      <c r="J336" s="9">
        <f>J338+J339+J345+J346+J349+J347</f>
        <v>13560000</v>
      </c>
      <c r="K336" s="10">
        <f>K338+K339+K345+K346+K349+K347</f>
        <v>13560000</v>
      </c>
      <c r="L336" s="10">
        <f t="shared" si="117"/>
        <v>0</v>
      </c>
      <c r="M336" s="10">
        <f t="shared" si="117"/>
        <v>0</v>
      </c>
      <c r="N336" s="10">
        <f t="shared" si="117"/>
        <v>0</v>
      </c>
      <c r="O336" s="11">
        <f>O338+O339+O345+O346+O349+O347</f>
        <v>13560000</v>
      </c>
      <c r="P336" s="14">
        <f>E336+J336</f>
        <v>320575598</v>
      </c>
    </row>
    <row r="337" spans="1:18" s="6" customFormat="1" ht="12.75" x14ac:dyDescent="0.2">
      <c r="A337" s="28" t="s">
        <v>107</v>
      </c>
      <c r="B337" s="7"/>
      <c r="C337" s="7"/>
      <c r="D337" s="8" t="s">
        <v>327</v>
      </c>
      <c r="E337" s="9"/>
      <c r="F337" s="10"/>
      <c r="G337" s="10"/>
      <c r="H337" s="10"/>
      <c r="I337" s="11"/>
      <c r="J337" s="12">
        <f t="shared" si="75"/>
        <v>0</v>
      </c>
      <c r="K337" s="13"/>
      <c r="L337" s="10"/>
      <c r="M337" s="10"/>
      <c r="N337" s="10"/>
      <c r="O337" s="11"/>
      <c r="P337" s="14">
        <f t="shared" si="88"/>
        <v>0</v>
      </c>
    </row>
    <row r="338" spans="1:18" s="21" customFormat="1" ht="24" x14ac:dyDescent="0.2">
      <c r="A338" s="15" t="s">
        <v>108</v>
      </c>
      <c r="B338" s="16" t="s">
        <v>56</v>
      </c>
      <c r="C338" s="16" t="s">
        <v>20</v>
      </c>
      <c r="D338" s="17" t="s">
        <v>397</v>
      </c>
      <c r="E338" s="12">
        <f>F338+I338</f>
        <v>19300000</v>
      </c>
      <c r="F338" s="13">
        <v>19300000</v>
      </c>
      <c r="G338" s="13">
        <v>12500000</v>
      </c>
      <c r="H338" s="13">
        <f>810000+12000</f>
        <v>822000</v>
      </c>
      <c r="I338" s="18"/>
      <c r="J338" s="12">
        <f t="shared" si="75"/>
        <v>0</v>
      </c>
      <c r="K338" s="13"/>
      <c r="L338" s="13"/>
      <c r="M338" s="13"/>
      <c r="N338" s="13"/>
      <c r="O338" s="18"/>
      <c r="P338" s="19">
        <f t="shared" si="88"/>
        <v>19300000</v>
      </c>
    </row>
    <row r="339" spans="1:18" s="21" customFormat="1" ht="12" x14ac:dyDescent="0.2">
      <c r="A339" s="15" t="s">
        <v>165</v>
      </c>
      <c r="B339" s="16" t="s">
        <v>13</v>
      </c>
      <c r="C339" s="16" t="s">
        <v>14</v>
      </c>
      <c r="D339" s="17" t="s">
        <v>166</v>
      </c>
      <c r="E339" s="12">
        <f>F339+I339</f>
        <v>57095706</v>
      </c>
      <c r="F339" s="13">
        <f>F341+F342+F343+10000000-4500000-650000-800000-3688000</f>
        <v>57095706</v>
      </c>
      <c r="G339" s="13"/>
      <c r="H339" s="13"/>
      <c r="I339" s="18">
        <f>I341+I342+I343</f>
        <v>0</v>
      </c>
      <c r="J339" s="12">
        <f t="shared" ref="J339:J346" si="118">L339+O339</f>
        <v>2000000</v>
      </c>
      <c r="K339" s="13">
        <f>K344</f>
        <v>2000000</v>
      </c>
      <c r="L339" s="13">
        <f t="shared" ref="L339:O339" si="119">L344</f>
        <v>0</v>
      </c>
      <c r="M339" s="13">
        <f t="shared" si="119"/>
        <v>0</v>
      </c>
      <c r="N339" s="13">
        <f t="shared" si="119"/>
        <v>0</v>
      </c>
      <c r="O339" s="18">
        <f t="shared" si="119"/>
        <v>2000000</v>
      </c>
      <c r="P339" s="19">
        <f t="shared" si="88"/>
        <v>59095706</v>
      </c>
    </row>
    <row r="340" spans="1:18" s="21" customFormat="1" ht="12" x14ac:dyDescent="0.2">
      <c r="A340" s="15"/>
      <c r="B340" s="16"/>
      <c r="C340" s="16"/>
      <c r="D340" s="17" t="s">
        <v>25</v>
      </c>
      <c r="E340" s="12"/>
      <c r="F340" s="13"/>
      <c r="G340" s="13"/>
      <c r="H340" s="13"/>
      <c r="I340" s="18"/>
      <c r="J340" s="12">
        <f t="shared" si="118"/>
        <v>0</v>
      </c>
      <c r="K340" s="13"/>
      <c r="L340" s="13"/>
      <c r="M340" s="13"/>
      <c r="N340" s="13"/>
      <c r="O340" s="18"/>
      <c r="P340" s="19">
        <f t="shared" si="88"/>
        <v>0</v>
      </c>
    </row>
    <row r="341" spans="1:18" s="21" customFormat="1" ht="12" x14ac:dyDescent="0.2">
      <c r="A341" s="15"/>
      <c r="B341" s="16"/>
      <c r="C341" s="16"/>
      <c r="D341" s="22" t="s">
        <v>26</v>
      </c>
      <c r="E341" s="12">
        <f t="shared" ref="E341:E347" si="120">F341+I341</f>
        <v>100000</v>
      </c>
      <c r="F341" s="13">
        <v>100000</v>
      </c>
      <c r="G341" s="13"/>
      <c r="H341" s="13"/>
      <c r="I341" s="18"/>
      <c r="J341" s="12">
        <f t="shared" si="118"/>
        <v>0</v>
      </c>
      <c r="K341" s="13"/>
      <c r="L341" s="13"/>
      <c r="M341" s="13"/>
      <c r="N341" s="13"/>
      <c r="O341" s="18"/>
      <c r="P341" s="19">
        <f t="shared" si="88"/>
        <v>100000</v>
      </c>
    </row>
    <row r="342" spans="1:18" s="21" customFormat="1" ht="24" x14ac:dyDescent="0.2">
      <c r="A342" s="15"/>
      <c r="B342" s="16"/>
      <c r="C342" s="16"/>
      <c r="D342" s="17" t="s">
        <v>290</v>
      </c>
      <c r="E342" s="12">
        <f>F342+I342</f>
        <v>26632033</v>
      </c>
      <c r="F342" s="13">
        <f>12600000+7000000+15000000-849876-2588000-322980-49500-1879687-1276914-4873241-599230-1740595-1560060-122896-24363+4220000+4000000-46125-254500</f>
        <v>26632033</v>
      </c>
      <c r="G342" s="13"/>
      <c r="H342" s="13"/>
      <c r="I342" s="18"/>
      <c r="J342" s="12">
        <f t="shared" si="118"/>
        <v>0</v>
      </c>
      <c r="K342" s="13"/>
      <c r="L342" s="13"/>
      <c r="M342" s="13"/>
      <c r="N342" s="13"/>
      <c r="O342" s="18"/>
      <c r="P342" s="19">
        <f t="shared" si="88"/>
        <v>26632033</v>
      </c>
    </row>
    <row r="343" spans="1:18" s="21" customFormat="1" ht="36" x14ac:dyDescent="0.2">
      <c r="A343" s="15"/>
      <c r="B343" s="16"/>
      <c r="C343" s="16"/>
      <c r="D343" s="17" t="s">
        <v>466</v>
      </c>
      <c r="E343" s="12">
        <f t="shared" si="120"/>
        <v>30001673</v>
      </c>
      <c r="F343" s="13">
        <f>50000000-462940-1845129-343860-11059550-9141848+2855000</f>
        <v>30001673</v>
      </c>
      <c r="G343" s="13"/>
      <c r="H343" s="13"/>
      <c r="I343" s="18"/>
      <c r="J343" s="12">
        <f t="shared" si="118"/>
        <v>0</v>
      </c>
      <c r="K343" s="13"/>
      <c r="L343" s="13"/>
      <c r="M343" s="13"/>
      <c r="N343" s="13"/>
      <c r="O343" s="18"/>
      <c r="P343" s="19">
        <f t="shared" si="88"/>
        <v>30001673</v>
      </c>
    </row>
    <row r="344" spans="1:18" s="21" customFormat="1" ht="24" x14ac:dyDescent="0.2">
      <c r="A344" s="15"/>
      <c r="B344" s="16"/>
      <c r="C344" s="16"/>
      <c r="D344" s="22" t="s">
        <v>574</v>
      </c>
      <c r="E344" s="12"/>
      <c r="F344" s="13"/>
      <c r="G344" s="13"/>
      <c r="H344" s="13"/>
      <c r="I344" s="18"/>
      <c r="J344" s="12">
        <f t="shared" si="118"/>
        <v>2000000</v>
      </c>
      <c r="K344" s="13">
        <f>2000000</f>
        <v>2000000</v>
      </c>
      <c r="L344" s="13"/>
      <c r="M344" s="13"/>
      <c r="N344" s="13"/>
      <c r="O344" s="18">
        <f>2000000</f>
        <v>2000000</v>
      </c>
      <c r="P344" s="19">
        <f t="shared" si="88"/>
        <v>2000000</v>
      </c>
    </row>
    <row r="345" spans="1:18" s="21" customFormat="1" ht="12" x14ac:dyDescent="0.2">
      <c r="A345" s="15" t="s">
        <v>109</v>
      </c>
      <c r="B345" s="16" t="s">
        <v>91</v>
      </c>
      <c r="C345" s="16" t="s">
        <v>93</v>
      </c>
      <c r="D345" s="17" t="s">
        <v>92</v>
      </c>
      <c r="E345" s="12">
        <f t="shared" si="120"/>
        <v>8000000</v>
      </c>
      <c r="F345" s="13">
        <v>8000000</v>
      </c>
      <c r="G345" s="13"/>
      <c r="H345" s="13"/>
      <c r="I345" s="18"/>
      <c r="J345" s="12">
        <f t="shared" si="118"/>
        <v>0</v>
      </c>
      <c r="K345" s="13"/>
      <c r="L345" s="13"/>
      <c r="M345" s="13"/>
      <c r="N345" s="13"/>
      <c r="O345" s="18"/>
      <c r="P345" s="19">
        <f t="shared" si="88"/>
        <v>8000000</v>
      </c>
      <c r="R345" s="20"/>
    </row>
    <row r="346" spans="1:18" s="21" customFormat="1" ht="12" x14ac:dyDescent="0.2">
      <c r="A346" s="15" t="s">
        <v>368</v>
      </c>
      <c r="B346" s="16" t="s">
        <v>366</v>
      </c>
      <c r="C346" s="16" t="s">
        <v>14</v>
      </c>
      <c r="D346" s="17" t="s">
        <v>367</v>
      </c>
      <c r="E346" s="12">
        <f>20000000-228308-400000-180000-130000-105000-33000</f>
        <v>18923692</v>
      </c>
      <c r="F346" s="13"/>
      <c r="G346" s="13"/>
      <c r="H346" s="13"/>
      <c r="I346" s="18"/>
      <c r="J346" s="12">
        <f t="shared" si="118"/>
        <v>0</v>
      </c>
      <c r="K346" s="13"/>
      <c r="L346" s="13"/>
      <c r="M346" s="13"/>
      <c r="N346" s="13"/>
      <c r="O346" s="18"/>
      <c r="P346" s="19">
        <f t="shared" si="88"/>
        <v>18923692</v>
      </c>
    </row>
    <row r="347" spans="1:18" s="21" customFormat="1" ht="12" x14ac:dyDescent="0.2">
      <c r="A347" s="15" t="s">
        <v>477</v>
      </c>
      <c r="B347" s="16" t="s">
        <v>478</v>
      </c>
      <c r="C347" s="16" t="s">
        <v>13</v>
      </c>
      <c r="D347" s="17" t="s">
        <v>479</v>
      </c>
      <c r="E347" s="12">
        <f t="shared" si="120"/>
        <v>192572600</v>
      </c>
      <c r="F347" s="13">
        <v>192572600</v>
      </c>
      <c r="G347" s="13"/>
      <c r="H347" s="13"/>
      <c r="I347" s="18"/>
      <c r="J347" s="12"/>
      <c r="K347" s="13"/>
      <c r="L347" s="13"/>
      <c r="M347" s="13"/>
      <c r="N347" s="13"/>
      <c r="O347" s="18"/>
      <c r="P347" s="19">
        <f t="shared" si="88"/>
        <v>192572600</v>
      </c>
    </row>
    <row r="348" spans="1:18" s="21" customFormat="1" ht="12" x14ac:dyDescent="0.2">
      <c r="A348" s="15" t="s">
        <v>544</v>
      </c>
      <c r="B348" s="64" t="s">
        <v>545</v>
      </c>
      <c r="C348" s="65" t="s">
        <v>13</v>
      </c>
      <c r="D348" s="23" t="s">
        <v>546</v>
      </c>
      <c r="E348" s="12">
        <v>500000</v>
      </c>
      <c r="F348" s="13">
        <v>500000</v>
      </c>
      <c r="G348" s="13"/>
      <c r="H348" s="13"/>
      <c r="I348" s="18"/>
      <c r="J348" s="12">
        <v>0</v>
      </c>
      <c r="K348" s="13"/>
      <c r="L348" s="13"/>
      <c r="M348" s="13"/>
      <c r="N348" s="13"/>
      <c r="O348" s="18"/>
      <c r="P348" s="19">
        <v>500000</v>
      </c>
    </row>
    <row r="349" spans="1:18" s="21" customFormat="1" ht="24" x14ac:dyDescent="0.2">
      <c r="A349" s="15" t="s">
        <v>529</v>
      </c>
      <c r="B349" s="16" t="s">
        <v>530</v>
      </c>
      <c r="C349" s="16" t="s">
        <v>13</v>
      </c>
      <c r="D349" s="17" t="s">
        <v>531</v>
      </c>
      <c r="E349" s="12">
        <f>F349</f>
        <v>10623600</v>
      </c>
      <c r="F349" s="13">
        <f>400000+1623600+2000000+600000+500000+500000-500000+1000000+2500000+2000000</f>
        <v>10623600</v>
      </c>
      <c r="G349" s="13"/>
      <c r="H349" s="13"/>
      <c r="I349" s="18"/>
      <c r="J349" s="12">
        <f>L349+O349</f>
        <v>11560000</v>
      </c>
      <c r="K349" s="13">
        <f>1000000+1500000+2000000+2000000+4000000+500000+560000</f>
        <v>11560000</v>
      </c>
      <c r="L349" s="13"/>
      <c r="M349" s="13"/>
      <c r="N349" s="13"/>
      <c r="O349" s="18">
        <f>1000000+1500000+2000000+2000000+4000000+500000+560000</f>
        <v>11560000</v>
      </c>
      <c r="P349" s="19">
        <f>E349+J349</f>
        <v>22183600</v>
      </c>
    </row>
    <row r="350" spans="1:18" s="73" customFormat="1" ht="13.5" thickBot="1" x14ac:dyDescent="0.2">
      <c r="A350" s="70"/>
      <c r="B350" s="127" t="s">
        <v>2</v>
      </c>
      <c r="C350" s="127"/>
      <c r="D350" s="128"/>
      <c r="E350" s="71">
        <f t="shared" ref="E350:P350" si="121">E13+E73+E122+E134+E169+E177+E210+E320+E250+E262+E279+E306+E336+E193+E237+E293+E333+E285+E276</f>
        <v>4335497772</v>
      </c>
      <c r="F350" s="72">
        <f t="shared" si="121"/>
        <v>3982634580</v>
      </c>
      <c r="G350" s="72">
        <f t="shared" si="121"/>
        <v>1467565502</v>
      </c>
      <c r="H350" s="72">
        <f t="shared" si="121"/>
        <v>286981961</v>
      </c>
      <c r="I350" s="124">
        <f t="shared" si="121"/>
        <v>333726500</v>
      </c>
      <c r="J350" s="71">
        <f t="shared" si="121"/>
        <v>1015770325</v>
      </c>
      <c r="K350" s="72">
        <f t="shared" si="121"/>
        <v>904077325</v>
      </c>
      <c r="L350" s="72">
        <f t="shared" si="121"/>
        <v>110098000</v>
      </c>
      <c r="M350" s="72">
        <f t="shared" si="121"/>
        <v>9367600</v>
      </c>
      <c r="N350" s="72">
        <f t="shared" si="121"/>
        <v>5594500</v>
      </c>
      <c r="O350" s="124">
        <f t="shared" si="121"/>
        <v>905672325</v>
      </c>
      <c r="P350" s="123">
        <f t="shared" si="121"/>
        <v>5351268097</v>
      </c>
    </row>
    <row r="351" spans="1:18" s="3" customFormat="1" x14ac:dyDescent="0.2">
      <c r="A351" s="1"/>
      <c r="B351" s="4"/>
      <c r="C351" s="4"/>
      <c r="E351" s="5"/>
      <c r="F351" s="5"/>
      <c r="G351" s="5"/>
      <c r="H351" s="5"/>
      <c r="J351" s="2"/>
      <c r="K351" s="2"/>
      <c r="L351" s="126" t="s">
        <v>506</v>
      </c>
      <c r="M351" s="126"/>
      <c r="N351" s="126"/>
      <c r="O351" s="2"/>
      <c r="P351" s="2"/>
      <c r="Q351" s="5"/>
    </row>
    <row r="352" spans="1:18" s="3" customFormat="1" x14ac:dyDescent="0.2">
      <c r="A352" s="1"/>
      <c r="B352" s="4"/>
      <c r="C352" s="4"/>
      <c r="E352" s="5"/>
      <c r="F352" s="5"/>
      <c r="G352" s="5"/>
      <c r="H352" s="5"/>
      <c r="J352" s="2"/>
      <c r="K352" s="2"/>
      <c r="L352" s="126"/>
      <c r="M352" s="126"/>
      <c r="N352" s="126"/>
      <c r="O352" s="2"/>
      <c r="P352" s="2"/>
    </row>
    <row r="353" spans="1:17" s="3" customFormat="1" x14ac:dyDescent="0.2">
      <c r="A353" s="1"/>
      <c r="B353" s="4"/>
      <c r="C353" s="4"/>
      <c r="E353" s="5"/>
      <c r="F353" s="5"/>
      <c r="G353" s="5"/>
      <c r="H353" s="5"/>
      <c r="J353" s="2"/>
      <c r="K353" s="2"/>
      <c r="L353" s="126"/>
      <c r="M353" s="126"/>
      <c r="N353" s="126"/>
      <c r="O353" s="2"/>
      <c r="P353" s="2"/>
      <c r="Q353" s="5"/>
    </row>
    <row r="354" spans="1:17" s="3" customFormat="1" ht="15.75" x14ac:dyDescent="0.2">
      <c r="A354" s="1"/>
      <c r="B354" s="125" t="s">
        <v>10</v>
      </c>
      <c r="C354" s="125"/>
      <c r="D354" s="125"/>
      <c r="E354" s="74"/>
      <c r="F354" s="75"/>
      <c r="G354" s="76"/>
      <c r="H354" s="75"/>
      <c r="I354" s="76"/>
      <c r="J354" s="77"/>
      <c r="K354" s="126"/>
      <c r="L354" s="126"/>
      <c r="M354" s="126"/>
      <c r="N354" s="126"/>
      <c r="O354" s="126"/>
      <c r="P354" s="77"/>
    </row>
    <row r="355" spans="1:17" s="3" customFormat="1" ht="15.75" x14ac:dyDescent="0.2">
      <c r="A355" s="1"/>
      <c r="B355" s="78"/>
      <c r="C355" s="78"/>
      <c r="D355" s="79"/>
      <c r="E355" s="75"/>
      <c r="F355" s="75"/>
      <c r="G355" s="75"/>
      <c r="H355" s="75"/>
      <c r="I355" s="75">
        <f>I15+I75+I124+I136+I171+I179+I195+I212+I239+I252+I264+I278+I281+I287+I295+I308+I322+I335+I338</f>
        <v>0</v>
      </c>
      <c r="J355" s="77"/>
      <c r="K355" s="126"/>
      <c r="L355" s="126"/>
      <c r="M355" s="126"/>
      <c r="N355" s="126"/>
      <c r="O355" s="126"/>
      <c r="P355" s="77"/>
    </row>
    <row r="356" spans="1:17" ht="18.75" x14ac:dyDescent="0.2">
      <c r="D356" s="80"/>
      <c r="E356" s="81"/>
      <c r="F356" s="81"/>
      <c r="G356" s="81"/>
      <c r="H356" s="81"/>
      <c r="I356" s="81"/>
      <c r="J356" s="81"/>
      <c r="K356" s="81"/>
      <c r="L356" s="81"/>
      <c r="M356" s="81"/>
      <c r="N356" s="81"/>
      <c r="O356" s="81"/>
      <c r="P356" s="81"/>
    </row>
    <row r="357" spans="1:17" ht="18.75" x14ac:dyDescent="0.2">
      <c r="A357" s="82"/>
      <c r="B357" s="82"/>
      <c r="C357" s="82"/>
      <c r="D357" s="80"/>
      <c r="E357" s="81"/>
      <c r="F357" s="81"/>
      <c r="G357" s="81"/>
      <c r="H357" s="81"/>
      <c r="I357" s="81"/>
      <c r="J357" s="81"/>
      <c r="K357" s="81"/>
      <c r="L357" s="81"/>
      <c r="M357" s="81"/>
      <c r="N357" s="81"/>
      <c r="O357" s="81"/>
      <c r="P357" s="81"/>
    </row>
    <row r="358" spans="1:17" ht="18.75" x14ac:dyDescent="0.2">
      <c r="A358" s="82"/>
      <c r="B358" s="82"/>
      <c r="C358" s="82"/>
      <c r="D358" s="80"/>
      <c r="E358" s="83"/>
    </row>
    <row r="359" spans="1:17" ht="18.75" x14ac:dyDescent="0.2">
      <c r="A359" s="82"/>
      <c r="B359" s="82"/>
      <c r="C359" s="82"/>
      <c r="D359" s="80"/>
      <c r="E359" s="85"/>
      <c r="F359" s="85"/>
      <c r="G359" s="85"/>
      <c r="H359" s="85"/>
      <c r="I359" s="85"/>
      <c r="J359" s="85"/>
      <c r="K359" s="85"/>
      <c r="L359" s="85"/>
      <c r="M359" s="85"/>
      <c r="N359" s="85"/>
      <c r="O359" s="85"/>
      <c r="P359" s="85"/>
    </row>
    <row r="360" spans="1:17" ht="18.75" x14ac:dyDescent="0.2">
      <c r="A360" s="82"/>
      <c r="B360" s="82"/>
      <c r="C360" s="82"/>
      <c r="D360" s="80"/>
      <c r="E360" s="86"/>
    </row>
    <row r="361" spans="1:17" ht="18.75" x14ac:dyDescent="0.2">
      <c r="A361" s="82"/>
      <c r="B361" s="82"/>
      <c r="C361" s="82"/>
      <c r="D361" s="80"/>
    </row>
    <row r="362" spans="1:17" x14ac:dyDescent="0.2">
      <c r="A362" s="82"/>
      <c r="B362" s="82"/>
      <c r="C362" s="82"/>
      <c r="D362" s="87"/>
      <c r="G362" s="88"/>
    </row>
    <row r="363" spans="1:17" x14ac:dyDescent="0.2">
      <c r="A363" s="82"/>
      <c r="B363" s="82"/>
      <c r="C363" s="82"/>
      <c r="D363" s="87"/>
    </row>
    <row r="364" spans="1:17" x14ac:dyDescent="0.2">
      <c r="A364" s="82"/>
      <c r="B364" s="82"/>
      <c r="C364" s="82"/>
      <c r="D364" s="87"/>
    </row>
    <row r="365" spans="1:17" x14ac:dyDescent="0.2">
      <c r="A365" s="82"/>
      <c r="B365" s="82"/>
      <c r="C365" s="82"/>
      <c r="E365" s="88"/>
      <c r="F365" s="88"/>
      <c r="G365" s="88"/>
      <c r="H365" s="88"/>
    </row>
  </sheetData>
  <mergeCells count="33">
    <mergeCell ref="A270:A271"/>
    <mergeCell ref="B270:B271"/>
    <mergeCell ref="C270:C271"/>
    <mergeCell ref="P9:P12"/>
    <mergeCell ref="F10:F12"/>
    <mergeCell ref="J9:O9"/>
    <mergeCell ref="G11:G12"/>
    <mergeCell ref="H11:H12"/>
    <mergeCell ref="M11:M12"/>
    <mergeCell ref="N11:N12"/>
    <mergeCell ref="E10:E12"/>
    <mergeCell ref="J10:J12"/>
    <mergeCell ref="K10:K12"/>
    <mergeCell ref="I10:I12"/>
    <mergeCell ref="C9:C12"/>
    <mergeCell ref="B1:N1"/>
    <mergeCell ref="B2:N2"/>
    <mergeCell ref="L10:L12"/>
    <mergeCell ref="O10:O12"/>
    <mergeCell ref="M10:N10"/>
    <mergeCell ref="G10:H10"/>
    <mergeCell ref="N4:O4"/>
    <mergeCell ref="A6:B6"/>
    <mergeCell ref="A7:B7"/>
    <mergeCell ref="A9:A12"/>
    <mergeCell ref="B9:B12"/>
    <mergeCell ref="D9:D12"/>
    <mergeCell ref="E9:I9"/>
    <mergeCell ref="B354:D354"/>
    <mergeCell ref="L351:N355"/>
    <mergeCell ref="K354:K355"/>
    <mergeCell ref="O354:O355"/>
    <mergeCell ref="B350:D350"/>
  </mergeCells>
  <phoneticPr fontId="5" type="noConversion"/>
  <pageMargins left="0.98425196850393704" right="0.59055118110236227" top="1.3779527559055118" bottom="0.39370078740157483" header="0" footer="0"/>
  <pageSetup paperSize="9" scale="46" fitToHeight="0" orientation="landscape" horizontalDpi="300" verticalDpi="300" r:id="rId1"/>
  <ignoredErrors>
    <ignoredError sqref="J144 H98:I98 E93 E110:E112 E119:E121 E108 E75:E79 E82 G73:I73 J85:J89 E100:E105" emptyCellReference="1"/>
    <ignoredError sqref="A121:C121" numberStoredAsText="1"/>
    <ignoredError sqref="J333 J10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Ярчук</dc:creator>
  <cp:lastModifiedBy>Admin</cp:lastModifiedBy>
  <cp:lastPrinted>2025-04-18T07:16:40Z</cp:lastPrinted>
  <dcterms:created xsi:type="dcterms:W3CDTF">2016-12-02T14:24:23Z</dcterms:created>
  <dcterms:modified xsi:type="dcterms:W3CDTF">2025-04-24T12:10:40Z</dcterms:modified>
</cp:coreProperties>
</file>