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Проекти рішень\2025 проєкти\Лютий\лютий 1\"/>
    </mc:Choice>
  </mc:AlternateContent>
  <bookViews>
    <workbookView xWindow="-120" yWindow="-120" windowWidth="29040" windowHeight="15720" tabRatio="0"/>
  </bookViews>
  <sheets>
    <sheet name="TDSheet" sheetId="1" r:id="rId1"/>
  </sheets>
  <definedNames>
    <definedName name="_xlnm.Print_Titles" localSheetId="0">TDSheet!$9:$12</definedName>
    <definedName name="_xlnm.Print_Area" localSheetId="0">TDSheet!$A$1:$P$416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1" l="1"/>
  <c r="F13" i="1"/>
  <c r="E34" i="1"/>
  <c r="E33" i="1"/>
  <c r="F74" i="1"/>
  <c r="F109" i="1" l="1"/>
  <c r="F108" i="1"/>
  <c r="F82" i="1"/>
  <c r="F97" i="1"/>
  <c r="G97" i="1"/>
  <c r="G108" i="1"/>
  <c r="F150" i="1" l="1"/>
  <c r="F152" i="1"/>
  <c r="H104" i="1" l="1"/>
  <c r="F104" i="1"/>
  <c r="H94" i="1"/>
  <c r="F94" i="1"/>
  <c r="H95" i="1"/>
  <c r="F95" i="1"/>
  <c r="H105" i="1"/>
  <c r="F105" i="1"/>
  <c r="I418" i="1"/>
  <c r="E381" i="1"/>
  <c r="F380" i="1"/>
  <c r="G372" i="1"/>
  <c r="F372" i="1"/>
  <c r="I301" i="1"/>
  <c r="F297" i="1"/>
  <c r="F70" i="1"/>
  <c r="F69" i="1"/>
  <c r="F67" i="1"/>
  <c r="F65" i="1"/>
  <c r="F68" i="1"/>
  <c r="F62" i="1"/>
  <c r="F56" i="1"/>
  <c r="F53" i="1"/>
  <c r="H15" i="1"/>
  <c r="F15" i="1"/>
  <c r="F376" i="1"/>
  <c r="F221" i="1"/>
  <c r="F217" i="1"/>
  <c r="F296" i="1"/>
  <c r="F294" i="1" s="1"/>
  <c r="I334" i="1"/>
  <c r="F282" i="1"/>
  <c r="F268" i="1"/>
  <c r="I268" i="1"/>
  <c r="I238" i="1"/>
  <c r="I226" i="1"/>
  <c r="F226" i="1"/>
  <c r="F133" i="1" l="1"/>
  <c r="F128" i="1"/>
  <c r="F200" i="1"/>
  <c r="F196" i="1"/>
  <c r="F197" i="1"/>
  <c r="F390" i="1" l="1"/>
  <c r="E390" i="1" s="1"/>
  <c r="L118" i="1"/>
  <c r="J118" i="1" s="1"/>
  <c r="O160" i="1"/>
  <c r="K160" i="1"/>
  <c r="O159" i="1"/>
  <c r="K159" i="1"/>
  <c r="O158" i="1"/>
  <c r="K158" i="1"/>
  <c r="H168" i="1" l="1"/>
  <c r="G211" i="1"/>
  <c r="G168" i="1"/>
  <c r="F209" i="1" l="1"/>
  <c r="H141" i="1" l="1"/>
  <c r="F211" i="1" l="1"/>
  <c r="F187" i="1"/>
  <c r="F185" i="1" s="1"/>
  <c r="G187" i="1"/>
  <c r="G185" i="1" s="1"/>
  <c r="H187" i="1"/>
  <c r="H166" i="1"/>
  <c r="H167" i="1"/>
  <c r="G176" i="1"/>
  <c r="G167" i="1"/>
  <c r="H173" i="1"/>
  <c r="G173" i="1"/>
  <c r="F173" i="1"/>
  <c r="G178" i="1"/>
  <c r="F178" i="1"/>
  <c r="F176" i="1"/>
  <c r="F171" i="1"/>
  <c r="F168" i="1"/>
  <c r="F167" i="1"/>
  <c r="G166" i="1"/>
  <c r="F161" i="1"/>
  <c r="F156" i="1"/>
  <c r="F155" i="1"/>
  <c r="F146" i="1"/>
  <c r="F145" i="1"/>
  <c r="O287" i="1" l="1"/>
  <c r="K287" i="1"/>
  <c r="O282" i="1"/>
  <c r="K282" i="1"/>
  <c r="O128" i="1"/>
  <c r="K128" i="1"/>
  <c r="O283" i="1" l="1"/>
  <c r="K283" i="1"/>
  <c r="O94" i="1"/>
  <c r="K94" i="1"/>
  <c r="O82" i="1"/>
  <c r="K82" i="1"/>
  <c r="O77" i="1"/>
  <c r="K77" i="1"/>
  <c r="O65" i="1"/>
  <c r="K65" i="1"/>
  <c r="G220" i="1" l="1"/>
  <c r="F220" i="1"/>
  <c r="G215" i="1"/>
  <c r="F215" i="1"/>
  <c r="O244" i="1"/>
  <c r="K244" i="1"/>
  <c r="O379" i="1"/>
  <c r="K379" i="1"/>
  <c r="O372" i="1" l="1"/>
  <c r="K372" i="1"/>
  <c r="O288" i="1" l="1"/>
  <c r="K288" i="1"/>
  <c r="O24" i="1" l="1"/>
  <c r="K24" i="1"/>
  <c r="K18" i="1" s="1"/>
  <c r="O281" i="1"/>
  <c r="K281" i="1"/>
  <c r="O238" i="1"/>
  <c r="K238" i="1"/>
  <c r="F238" i="1" l="1"/>
  <c r="F225" i="1"/>
  <c r="F201" i="1" l="1"/>
  <c r="F24" i="1" l="1"/>
  <c r="H322" i="1"/>
  <c r="G277" i="1"/>
  <c r="F308" i="1"/>
  <c r="F357" i="1"/>
  <c r="I357" i="1"/>
  <c r="F46" i="1"/>
  <c r="F17" i="1"/>
  <c r="G15" i="1"/>
  <c r="G369" i="1"/>
  <c r="F369" i="1"/>
  <c r="G355" i="1"/>
  <c r="F355" i="1"/>
  <c r="G333" i="1"/>
  <c r="F333" i="1"/>
  <c r="G322" i="1"/>
  <c r="F322" i="1"/>
  <c r="F314" i="1"/>
  <c r="G314" i="1"/>
  <c r="G308" i="1"/>
  <c r="G305" i="1"/>
  <c r="F305" i="1"/>
  <c r="G293" i="1"/>
  <c r="F293" i="1"/>
  <c r="F277" i="1"/>
  <c r="G263" i="1"/>
  <c r="F263" i="1"/>
  <c r="G224" i="1"/>
  <c r="F224" i="1"/>
  <c r="G208" i="1"/>
  <c r="F208" i="1"/>
  <c r="G193" i="1" l="1"/>
  <c r="F193" i="1"/>
  <c r="H183" i="1"/>
  <c r="G183" i="1"/>
  <c r="F183" i="1"/>
  <c r="G141" i="1" l="1"/>
  <c r="F141" i="1"/>
  <c r="F127" i="1"/>
  <c r="G73" i="1"/>
  <c r="F73" i="1"/>
  <c r="F199" i="1" l="1"/>
  <c r="H199" i="1"/>
  <c r="G82" i="1" l="1"/>
  <c r="F328" i="1" l="1"/>
  <c r="F378" i="1"/>
  <c r="I265" i="1" l="1"/>
  <c r="G199" i="1" l="1"/>
  <c r="F351" i="1" l="1"/>
  <c r="O116" i="1" l="1"/>
  <c r="K116" i="1"/>
  <c r="H96" i="1" l="1"/>
  <c r="E157" i="1" l="1"/>
  <c r="H185" i="1"/>
  <c r="F180" i="1"/>
  <c r="F172" i="1"/>
  <c r="F166" i="1"/>
  <c r="F375" i="1" l="1"/>
  <c r="H369" i="1"/>
  <c r="F348" i="1"/>
  <c r="F341" i="1"/>
  <c r="F339" i="1"/>
  <c r="F338" i="1" s="1"/>
  <c r="F337" i="1"/>
  <c r="F330" i="1"/>
  <c r="H277" i="1"/>
  <c r="H224" i="1"/>
  <c r="F42" i="1"/>
  <c r="F21" i="1"/>
  <c r="F311" i="1"/>
  <c r="F309" i="1"/>
  <c r="I281" i="1"/>
  <c r="H238" i="1"/>
  <c r="E238" i="1" l="1"/>
  <c r="F214" i="1"/>
  <c r="F317" i="1" l="1"/>
  <c r="F315" i="1"/>
  <c r="O348" i="1"/>
  <c r="K348" i="1"/>
  <c r="O330" i="1"/>
  <c r="K330" i="1"/>
  <c r="O310" i="1"/>
  <c r="K310" i="1"/>
  <c r="N291" i="1"/>
  <c r="M291" i="1"/>
  <c r="O299" i="1"/>
  <c r="O291" i="1" s="1"/>
  <c r="K299" i="1"/>
  <c r="K291" i="1" s="1"/>
  <c r="O273" i="1"/>
  <c r="K273" i="1"/>
  <c r="O268" i="1"/>
  <c r="K268" i="1"/>
  <c r="O256" i="1"/>
  <c r="K256" i="1"/>
  <c r="O254" i="1"/>
  <c r="K254" i="1"/>
  <c r="F134" i="1" l="1"/>
  <c r="F132" i="1"/>
  <c r="G200" i="1" l="1"/>
  <c r="F194" i="1"/>
  <c r="G194" i="1"/>
  <c r="F66" i="1" l="1"/>
  <c r="H333" i="1"/>
  <c r="H305" i="1"/>
  <c r="H293" i="1"/>
  <c r="F319" i="1"/>
  <c r="G198" i="1" l="1"/>
  <c r="F198" i="1"/>
  <c r="O369" i="1" l="1"/>
  <c r="J369" i="1" s="1"/>
  <c r="J367" i="1" s="1"/>
  <c r="K369" i="1"/>
  <c r="O364" i="1"/>
  <c r="K364" i="1"/>
  <c r="F113" i="1" l="1"/>
  <c r="F115" i="1"/>
  <c r="F264" i="1" l="1"/>
  <c r="L302" i="1" l="1"/>
  <c r="L291" i="1" s="1"/>
  <c r="L190" i="1"/>
  <c r="J113" i="1" l="1"/>
  <c r="J114" i="1"/>
  <c r="J116" i="1"/>
  <c r="J117" i="1"/>
  <c r="O115" i="1"/>
  <c r="J115" i="1" s="1"/>
  <c r="K115" i="1"/>
  <c r="O398" i="1" l="1"/>
  <c r="J398" i="1" s="1"/>
  <c r="P398" i="1" s="1"/>
  <c r="K398" i="1"/>
  <c r="O286" i="1"/>
  <c r="K286" i="1"/>
  <c r="O132" i="1"/>
  <c r="K132" i="1"/>
  <c r="O62" i="1"/>
  <c r="K62" i="1"/>
  <c r="F342" i="1" l="1"/>
  <c r="F329" i="1"/>
  <c r="F327" i="1"/>
  <c r="F59" i="1"/>
  <c r="F45" i="1"/>
  <c r="F23" i="1"/>
  <c r="F20" i="1"/>
  <c r="G119" i="1" l="1"/>
  <c r="E395" i="1" l="1"/>
  <c r="E396" i="1"/>
  <c r="E397" i="1"/>
  <c r="E402" i="1"/>
  <c r="E403" i="1"/>
  <c r="E400" i="1"/>
  <c r="E399" i="1"/>
  <c r="E404" i="1"/>
  <c r="E405" i="1"/>
  <c r="J352" i="1" l="1"/>
  <c r="O397" i="1"/>
  <c r="J397" i="1" s="1"/>
  <c r="P397" i="1" s="1"/>
  <c r="K397" i="1"/>
  <c r="F377" i="1" l="1"/>
  <c r="F373" i="1" s="1"/>
  <c r="F154" i="1"/>
  <c r="F213" i="1" l="1"/>
  <c r="H194" i="1" l="1"/>
  <c r="H22" i="1" l="1"/>
  <c r="F22" i="1"/>
  <c r="F312" i="1" l="1"/>
  <c r="G181" i="1"/>
  <c r="G127" i="1"/>
  <c r="F147" i="1" l="1"/>
  <c r="G264" i="1"/>
  <c r="G222" i="1"/>
  <c r="F216" i="1" l="1"/>
  <c r="I222" i="1" l="1"/>
  <c r="O257" i="1" l="1"/>
  <c r="K257" i="1"/>
  <c r="O189" i="1"/>
  <c r="K189" i="1"/>
  <c r="L204" i="1" l="1"/>
  <c r="L122" i="1" l="1"/>
  <c r="F90" i="1"/>
  <c r="E100" i="1"/>
  <c r="F96" i="1"/>
  <c r="E93" i="1"/>
  <c r="P93" i="1" s="1"/>
  <c r="H355" i="1"/>
  <c r="E174" i="1" l="1"/>
  <c r="P174" i="1" s="1"/>
  <c r="E175" i="1"/>
  <c r="P175" i="1" s="1"/>
  <c r="O345" i="1" l="1"/>
  <c r="K345" i="1"/>
  <c r="L181" i="1"/>
  <c r="M181" i="1"/>
  <c r="N181" i="1"/>
  <c r="K181" i="1"/>
  <c r="O181" i="1"/>
  <c r="J189" i="1"/>
  <c r="E189" i="1"/>
  <c r="J181" i="1" l="1"/>
  <c r="P189" i="1"/>
  <c r="H176" i="1" l="1"/>
  <c r="H198" i="1"/>
  <c r="H193" i="1" l="1"/>
  <c r="E118" i="1" l="1"/>
  <c r="P118" i="1" s="1"/>
  <c r="F222" i="1" l="1"/>
  <c r="E226" i="1" l="1"/>
  <c r="J399" i="1"/>
  <c r="P399" i="1" s="1"/>
  <c r="J281" i="1"/>
  <c r="L81" i="1" l="1"/>
  <c r="P374" i="1"/>
  <c r="P360" i="1"/>
  <c r="P335" i="1"/>
  <c r="P326" i="1"/>
  <c r="P304" i="1"/>
  <c r="P292" i="1"/>
  <c r="P284" i="1"/>
  <c r="P276" i="1"/>
  <c r="P272" i="1"/>
  <c r="P269" i="1"/>
  <c r="P266" i="1"/>
  <c r="P262" i="1"/>
  <c r="P252" i="1"/>
  <c r="P249" i="1"/>
  <c r="P246" i="1"/>
  <c r="P239" i="1"/>
  <c r="P202" i="1"/>
  <c r="P192" i="1"/>
  <c r="P186" i="1"/>
  <c r="P182" i="1"/>
  <c r="P177" i="1"/>
  <c r="P129" i="1"/>
  <c r="P100" i="1"/>
  <c r="P75" i="1"/>
  <c r="P61" i="1"/>
  <c r="P55" i="1"/>
  <c r="P51" i="1"/>
  <c r="P44" i="1"/>
  <c r="P40" i="1"/>
  <c r="P19" i="1"/>
  <c r="P404" i="1"/>
  <c r="E406" i="1"/>
  <c r="E401" i="1"/>
  <c r="E407" i="1"/>
  <c r="E270" i="1" l="1"/>
  <c r="P270" i="1" s="1"/>
  <c r="E243" i="1"/>
  <c r="P243" i="1" s="1"/>
  <c r="I242" i="1"/>
  <c r="E242" i="1" s="1"/>
  <c r="P242" i="1" s="1"/>
  <c r="I241" i="1"/>
  <c r="E241" i="1" s="1"/>
  <c r="P241" i="1" s="1"/>
  <c r="E236" i="1"/>
  <c r="P236" i="1" s="1"/>
  <c r="I250" i="1"/>
  <c r="E250" i="1" s="1"/>
  <c r="P250" i="1" s="1"/>
  <c r="H261" i="1"/>
  <c r="I267" i="1"/>
  <c r="E267" i="1" s="1"/>
  <c r="P267" i="1" s="1"/>
  <c r="I336" i="1"/>
  <c r="E336" i="1" s="1"/>
  <c r="P336" i="1" s="1"/>
  <c r="E293" i="1" l="1"/>
  <c r="E298" i="1"/>
  <c r="H220" i="1" l="1"/>
  <c r="H210" i="1"/>
  <c r="G210" i="1"/>
  <c r="F210" i="1"/>
  <c r="G191" i="1" l="1"/>
  <c r="E205" i="1"/>
  <c r="P205" i="1" s="1"/>
  <c r="F195" i="1"/>
  <c r="F212" i="1" l="1"/>
  <c r="F184" i="1"/>
  <c r="F153" i="1" l="1"/>
  <c r="F144" i="1"/>
  <c r="E84" i="1" l="1"/>
  <c r="E86" i="1"/>
  <c r="F85" i="1"/>
  <c r="E85" i="1" s="1"/>
  <c r="P85" i="1" s="1"/>
  <c r="F87" i="1"/>
  <c r="E334" i="1" l="1"/>
  <c r="P334" i="1" s="1"/>
  <c r="E248" i="1"/>
  <c r="P248" i="1" s="1"/>
  <c r="I261" i="1" l="1"/>
  <c r="O387" i="1" l="1"/>
  <c r="J387" i="1" s="1"/>
  <c r="P387" i="1" s="1"/>
  <c r="K387" i="1"/>
  <c r="O386" i="1"/>
  <c r="J386" i="1" s="1"/>
  <c r="P386" i="1" s="1"/>
  <c r="K386" i="1"/>
  <c r="O385" i="1"/>
  <c r="J385" i="1" s="1"/>
  <c r="P385" i="1" s="1"/>
  <c r="K385" i="1"/>
  <c r="N382" i="1"/>
  <c r="M382" i="1"/>
  <c r="L382" i="1"/>
  <c r="J289" i="1"/>
  <c r="P289" i="1" s="1"/>
  <c r="J290" i="1"/>
  <c r="P290" i="1" s="1"/>
  <c r="K290" i="1"/>
  <c r="O247" i="1"/>
  <c r="K247" i="1"/>
  <c r="O245" i="1"/>
  <c r="K245" i="1"/>
  <c r="O112" i="1"/>
  <c r="K112" i="1"/>
  <c r="J105" i="1"/>
  <c r="J106" i="1"/>
  <c r="J107" i="1"/>
  <c r="J108" i="1"/>
  <c r="J109" i="1"/>
  <c r="J110" i="1"/>
  <c r="P110" i="1" s="1"/>
  <c r="J111" i="1"/>
  <c r="N390" i="1"/>
  <c r="M390" i="1"/>
  <c r="L390" i="1"/>
  <c r="O407" i="1"/>
  <c r="J407" i="1" s="1"/>
  <c r="P407" i="1" s="1"/>
  <c r="K407" i="1"/>
  <c r="O395" i="1"/>
  <c r="K395" i="1"/>
  <c r="J299" i="1"/>
  <c r="P299" i="1" s="1"/>
  <c r="J296" i="1"/>
  <c r="J297" i="1"/>
  <c r="J298" i="1"/>
  <c r="P298" i="1" s="1"/>
  <c r="J112" i="1" l="1"/>
  <c r="P112" i="1" s="1"/>
  <c r="O382" i="1"/>
  <c r="N96" i="1"/>
  <c r="N60" i="1"/>
  <c r="M60" i="1"/>
  <c r="L60" i="1"/>
  <c r="E412" i="1" l="1"/>
  <c r="P412" i="1" s="1"/>
  <c r="E411" i="1"/>
  <c r="P411" i="1" s="1"/>
  <c r="E222" i="1"/>
  <c r="F191" i="1"/>
  <c r="F181" i="1"/>
  <c r="F52" i="1"/>
  <c r="I41" i="1"/>
  <c r="F261" i="1" l="1"/>
  <c r="E261" i="1" s="1"/>
  <c r="F137" i="1" l="1"/>
  <c r="F125" i="1" s="1"/>
  <c r="E122" i="1" l="1"/>
  <c r="E123" i="1"/>
  <c r="E124" i="1"/>
  <c r="E97" i="1"/>
  <c r="E98" i="1"/>
  <c r="P98" i="1" s="1"/>
  <c r="E94" i="1"/>
  <c r="E95" i="1"/>
  <c r="P95" i="1" s="1"/>
  <c r="E91" i="1"/>
  <c r="P91" i="1" s="1"/>
  <c r="E92" i="1"/>
  <c r="E89" i="1"/>
  <c r="F81" i="1"/>
  <c r="G81" i="1"/>
  <c r="E77" i="1"/>
  <c r="E78" i="1"/>
  <c r="P78" i="1" s="1"/>
  <c r="E79" i="1"/>
  <c r="P79" i="1" s="1"/>
  <c r="E80" i="1"/>
  <c r="P80" i="1" s="1"/>
  <c r="E410" i="1" l="1"/>
  <c r="P410" i="1" s="1"/>
  <c r="E409" i="1"/>
  <c r="P409" i="1" s="1"/>
  <c r="E408" i="1"/>
  <c r="P408" i="1" s="1"/>
  <c r="E352" i="1"/>
  <c r="P352" i="1" s="1"/>
  <c r="I339" i="1" l="1"/>
  <c r="F63" i="1"/>
  <c r="K406" i="1" l="1"/>
  <c r="O406" i="1"/>
  <c r="J406" i="1" s="1"/>
  <c r="P406" i="1" s="1"/>
  <c r="O405" i="1"/>
  <c r="J405" i="1" s="1"/>
  <c r="P405" i="1" s="1"/>
  <c r="K405" i="1"/>
  <c r="K401" i="1"/>
  <c r="O401" i="1"/>
  <c r="J401" i="1" s="1"/>
  <c r="P401" i="1" s="1"/>
  <c r="K403" i="1"/>
  <c r="O403" i="1"/>
  <c r="J403" i="1" s="1"/>
  <c r="P403" i="1" s="1"/>
  <c r="J388" i="1"/>
  <c r="J389" i="1"/>
  <c r="P389" i="1" s="1"/>
  <c r="K389" i="1"/>
  <c r="K382" i="1" s="1"/>
  <c r="O274" i="1"/>
  <c r="J274" i="1" s="1"/>
  <c r="P274" i="1" s="1"/>
  <c r="K253" i="1"/>
  <c r="O253" i="1"/>
  <c r="J253" i="1" s="1"/>
  <c r="P253" i="1" s="1"/>
  <c r="K194" i="1"/>
  <c r="O194" i="1"/>
  <c r="K168" i="1"/>
  <c r="O168" i="1"/>
  <c r="J159" i="1"/>
  <c r="P159" i="1" s="1"/>
  <c r="J160" i="1"/>
  <c r="P160" i="1" s="1"/>
  <c r="J161" i="1"/>
  <c r="J162" i="1"/>
  <c r="J158" i="1"/>
  <c r="P158" i="1" s="1"/>
  <c r="K124" i="1"/>
  <c r="O124" i="1"/>
  <c r="J124" i="1" s="1"/>
  <c r="P124" i="1" s="1"/>
  <c r="L123" i="1"/>
  <c r="J123" i="1" s="1"/>
  <c r="P123" i="1" s="1"/>
  <c r="O122" i="1"/>
  <c r="K81" i="1"/>
  <c r="J82" i="1"/>
  <c r="K84" i="1"/>
  <c r="O84" i="1"/>
  <c r="K67" i="1"/>
  <c r="O67" i="1"/>
  <c r="K60" i="1"/>
  <c r="O25" i="1"/>
  <c r="K251" i="1" l="1"/>
  <c r="K222" i="1" s="1"/>
  <c r="J62" i="1"/>
  <c r="J60" i="1" s="1"/>
  <c r="O60" i="1"/>
  <c r="O251" i="1"/>
  <c r="O222" i="1" s="1"/>
  <c r="O18" i="1"/>
  <c r="J122" i="1"/>
  <c r="P122" i="1" s="1"/>
  <c r="F310" i="1"/>
  <c r="I275" i="1"/>
  <c r="E279" i="1"/>
  <c r="E280" i="1"/>
  <c r="E281" i="1"/>
  <c r="P281" i="1" s="1"/>
  <c r="F278" i="1"/>
  <c r="E260" i="1"/>
  <c r="P260" i="1" s="1"/>
  <c r="E259" i="1"/>
  <c r="P259" i="1" s="1"/>
  <c r="E225" i="1"/>
  <c r="H225" i="1"/>
  <c r="H222" i="1" s="1"/>
  <c r="H372" i="1" l="1"/>
  <c r="I361" i="1" l="1"/>
  <c r="I359" i="1"/>
  <c r="F324" i="1" l="1"/>
  <c r="H181" i="1"/>
  <c r="H127" i="1"/>
  <c r="G261" i="1" l="1"/>
  <c r="E83" i="1"/>
  <c r="E87" i="1"/>
  <c r="P87" i="1" s="1"/>
  <c r="K285" i="1" l="1"/>
  <c r="O285" i="1"/>
  <c r="O86" i="1"/>
  <c r="K86" i="1"/>
  <c r="O400" i="1" l="1"/>
  <c r="J400" i="1" s="1"/>
  <c r="P400" i="1" s="1"/>
  <c r="K400" i="1"/>
  <c r="E369" i="1" l="1"/>
  <c r="P369" i="1" s="1"/>
  <c r="E388" i="1"/>
  <c r="P388" i="1" s="1"/>
  <c r="F382" i="1"/>
  <c r="F370" i="1" s="1"/>
  <c r="E394" i="1" l="1"/>
  <c r="P394" i="1" s="1"/>
  <c r="O402" i="1" l="1"/>
  <c r="O390" i="1" s="1"/>
  <c r="K402" i="1"/>
  <c r="K390" i="1" s="1"/>
  <c r="J402" i="1" l="1"/>
  <c r="P402" i="1" s="1"/>
  <c r="E105" i="1" l="1"/>
  <c r="P105" i="1" s="1"/>
  <c r="E88" i="1"/>
  <c r="P88" i="1" s="1"/>
  <c r="E121" i="1"/>
  <c r="E120" i="1"/>
  <c r="P120" i="1" s="1"/>
  <c r="E119" i="1"/>
  <c r="E117" i="1"/>
  <c r="P117" i="1" s="1"/>
  <c r="E116" i="1"/>
  <c r="P116" i="1" s="1"/>
  <c r="E115" i="1"/>
  <c r="P115" i="1" s="1"/>
  <c r="E114" i="1"/>
  <c r="P114" i="1" s="1"/>
  <c r="E113" i="1"/>
  <c r="P113" i="1" s="1"/>
  <c r="E104" i="1"/>
  <c r="E102" i="1"/>
  <c r="J245" i="1" l="1"/>
  <c r="P245" i="1" s="1"/>
  <c r="G300" i="1" l="1"/>
  <c r="H300" i="1"/>
  <c r="I300" i="1"/>
  <c r="F300" i="1"/>
  <c r="G294" i="1"/>
  <c r="H294" i="1"/>
  <c r="I294" i="1"/>
  <c r="G39" i="1"/>
  <c r="H39" i="1"/>
  <c r="I39" i="1"/>
  <c r="F39" i="1"/>
  <c r="I338" i="1"/>
  <c r="H291" i="1" l="1"/>
  <c r="I291" i="1"/>
  <c r="G291" i="1"/>
  <c r="E188" i="1" l="1"/>
  <c r="P188" i="1" s="1"/>
  <c r="E184" i="1" l="1"/>
  <c r="P184" i="1" s="1"/>
  <c r="E180" i="1"/>
  <c r="P180" i="1" s="1"/>
  <c r="E153" i="1" l="1"/>
  <c r="P153" i="1" s="1"/>
  <c r="E240" i="1" l="1"/>
  <c r="P240" i="1" s="1"/>
  <c r="E233" i="1"/>
  <c r="P233" i="1" s="1"/>
  <c r="E234" i="1"/>
  <c r="P234" i="1" s="1"/>
  <c r="E235" i="1"/>
  <c r="P235" i="1" s="1"/>
  <c r="E227" i="1"/>
  <c r="P227" i="1" s="1"/>
  <c r="E228" i="1"/>
  <c r="P228" i="1" s="1"/>
  <c r="E229" i="1"/>
  <c r="P229" i="1" s="1"/>
  <c r="E230" i="1"/>
  <c r="P230" i="1" s="1"/>
  <c r="E231" i="1"/>
  <c r="P231" i="1" s="1"/>
  <c r="E232" i="1"/>
  <c r="P232" i="1" s="1"/>
  <c r="O66" i="1" l="1"/>
  <c r="K66" i="1"/>
  <c r="O121" i="1"/>
  <c r="J121" i="1" s="1"/>
  <c r="P121" i="1" s="1"/>
  <c r="K121" i="1"/>
  <c r="N18" i="1"/>
  <c r="M18" i="1"/>
  <c r="L18" i="1"/>
  <c r="J24" i="1"/>
  <c r="J25" i="1"/>
  <c r="P25" i="1" s="1"/>
  <c r="J26" i="1"/>
  <c r="E82" i="1" l="1"/>
  <c r="P82" i="1" s="1"/>
  <c r="E67" i="1"/>
  <c r="E219" i="1" l="1"/>
  <c r="P219" i="1" s="1"/>
  <c r="G206" i="1" l="1"/>
  <c r="F218" i="1"/>
  <c r="E218" i="1" s="1"/>
  <c r="P218" i="1" s="1"/>
  <c r="H215" i="1"/>
  <c r="H206" i="1" s="1"/>
  <c r="F206" i="1" l="1"/>
  <c r="E356" i="1"/>
  <c r="P356" i="1" s="1"/>
  <c r="E24" i="1"/>
  <c r="P24" i="1" s="1"/>
  <c r="J69" i="1" l="1"/>
  <c r="J68" i="1"/>
  <c r="J70" i="1"/>
  <c r="E69" i="1"/>
  <c r="E70" i="1"/>
  <c r="E36" i="1"/>
  <c r="P36" i="1" s="1"/>
  <c r="E382" i="1"/>
  <c r="E391" i="1"/>
  <c r="P391" i="1" s="1"/>
  <c r="E392" i="1"/>
  <c r="P392" i="1" s="1"/>
  <c r="E393" i="1"/>
  <c r="P393" i="1" s="1"/>
  <c r="E28" i="1"/>
  <c r="P28" i="1" s="1"/>
  <c r="E27" i="1"/>
  <c r="P27" i="1" s="1"/>
  <c r="E29" i="1"/>
  <c r="P29" i="1" s="1"/>
  <c r="E30" i="1"/>
  <c r="P30" i="1" s="1"/>
  <c r="E31" i="1"/>
  <c r="P31" i="1" s="1"/>
  <c r="E32" i="1"/>
  <c r="P32" i="1" s="1"/>
  <c r="P34" i="1"/>
  <c r="E35" i="1"/>
  <c r="P35" i="1" s="1"/>
  <c r="E37" i="1"/>
  <c r="P37" i="1" s="1"/>
  <c r="E26" i="1"/>
  <c r="P26" i="1" s="1"/>
  <c r="E66" i="1"/>
  <c r="P69" i="1" l="1"/>
  <c r="P70" i="1"/>
  <c r="J396" i="1" l="1"/>
  <c r="P396" i="1" s="1"/>
  <c r="J395" i="1"/>
  <c r="P395" i="1" s="1"/>
  <c r="J384" i="1"/>
  <c r="J380" i="1"/>
  <c r="J381" i="1"/>
  <c r="P381" i="1" s="1"/>
  <c r="E380" i="1"/>
  <c r="E383" i="1"/>
  <c r="P383" i="1" s="1"/>
  <c r="E384" i="1"/>
  <c r="O373" i="1"/>
  <c r="K373" i="1"/>
  <c r="K370" i="1" s="1"/>
  <c r="N373" i="1"/>
  <c r="M373" i="1"/>
  <c r="L373" i="1"/>
  <c r="J364" i="1"/>
  <c r="K362" i="1"/>
  <c r="K353" i="1" s="1"/>
  <c r="E364" i="1"/>
  <c r="E363" i="1"/>
  <c r="P363" i="1" s="1"/>
  <c r="N362" i="1"/>
  <c r="N353" i="1" s="1"/>
  <c r="M362" i="1"/>
  <c r="M353" i="1" s="1"/>
  <c r="L362" i="1"/>
  <c r="L353" i="1" s="1"/>
  <c r="E362" i="1"/>
  <c r="J348" i="1"/>
  <c r="O325" i="1"/>
  <c r="K325" i="1"/>
  <c r="N325" i="1"/>
  <c r="M325" i="1"/>
  <c r="L325" i="1"/>
  <c r="J285" i="1"/>
  <c r="E285" i="1"/>
  <c r="N275" i="1"/>
  <c r="M275" i="1"/>
  <c r="L275" i="1"/>
  <c r="P364" i="1" l="1"/>
  <c r="P384" i="1"/>
  <c r="P285" i="1"/>
  <c r="P380" i="1"/>
  <c r="J382" i="1"/>
  <c r="P382" i="1" s="1"/>
  <c r="J390" i="1"/>
  <c r="P390" i="1" s="1"/>
  <c r="N370" i="1"/>
  <c r="M370" i="1"/>
  <c r="O370" i="1"/>
  <c r="J330" i="1"/>
  <c r="J379" i="1"/>
  <c r="P379" i="1" s="1"/>
  <c r="L370" i="1"/>
  <c r="O362" i="1"/>
  <c r="J286" i="1"/>
  <c r="E286" i="1"/>
  <c r="O275" i="1"/>
  <c r="K279" i="1"/>
  <c r="J280" i="1"/>
  <c r="P280" i="1" s="1"/>
  <c r="J279" i="1"/>
  <c r="P279" i="1" s="1"/>
  <c r="O271" i="1"/>
  <c r="O261" i="1" s="1"/>
  <c r="N271" i="1"/>
  <c r="N261" i="1" s="1"/>
  <c r="M271" i="1"/>
  <c r="M261" i="1" s="1"/>
  <c r="L271" i="1"/>
  <c r="L261" i="1" s="1"/>
  <c r="K271" i="1"/>
  <c r="K261" i="1" s="1"/>
  <c r="J268" i="1"/>
  <c r="N251" i="1"/>
  <c r="N222" i="1" s="1"/>
  <c r="M251" i="1"/>
  <c r="M222" i="1" s="1"/>
  <c r="L251" i="1"/>
  <c r="L222" i="1" s="1"/>
  <c r="J255" i="1"/>
  <c r="P255" i="1" s="1"/>
  <c r="J256" i="1"/>
  <c r="P256" i="1" s="1"/>
  <c r="J257" i="1"/>
  <c r="P257" i="1" s="1"/>
  <c r="P286" i="1" l="1"/>
  <c r="J251" i="1"/>
  <c r="K275" i="1"/>
  <c r="J282" i="1"/>
  <c r="J362" i="1"/>
  <c r="P362" i="1" s="1"/>
  <c r="O353" i="1"/>
  <c r="J271" i="1"/>
  <c r="P271" i="1" s="1"/>
  <c r="J244" i="1"/>
  <c r="E244" i="1"/>
  <c r="J247" i="1"/>
  <c r="P247" i="1" s="1"/>
  <c r="J226" i="1"/>
  <c r="P226" i="1" s="1"/>
  <c r="O199" i="1"/>
  <c r="K199" i="1"/>
  <c r="J130" i="1"/>
  <c r="P130" i="1" s="1"/>
  <c r="O198" i="1"/>
  <c r="K198" i="1"/>
  <c r="J173" i="1"/>
  <c r="J172" i="1"/>
  <c r="J171" i="1"/>
  <c r="J170" i="1"/>
  <c r="P170" i="1" s="1"/>
  <c r="J169" i="1"/>
  <c r="J167" i="1"/>
  <c r="J166" i="1"/>
  <c r="J165" i="1"/>
  <c r="J164" i="1"/>
  <c r="P164" i="1" s="1"/>
  <c r="N163" i="1"/>
  <c r="N139" i="1" s="1"/>
  <c r="M163" i="1"/>
  <c r="M139" i="1" s="1"/>
  <c r="L163" i="1"/>
  <c r="L139" i="1" s="1"/>
  <c r="K163" i="1"/>
  <c r="K139" i="1" s="1"/>
  <c r="O163" i="1"/>
  <c r="O139" i="1" s="1"/>
  <c r="O89" i="1"/>
  <c r="O81" i="1" s="1"/>
  <c r="J83" i="1"/>
  <c r="P83" i="1" s="1"/>
  <c r="J84" i="1"/>
  <c r="P84" i="1" s="1"/>
  <c r="J86" i="1"/>
  <c r="P86" i="1" s="1"/>
  <c r="J67" i="1"/>
  <c r="P67" i="1" s="1"/>
  <c r="N63" i="1"/>
  <c r="L63" i="1"/>
  <c r="K63" i="1"/>
  <c r="M63" i="1"/>
  <c r="J15" i="1"/>
  <c r="J81" i="1" l="1"/>
  <c r="P244" i="1"/>
  <c r="K13" i="1"/>
  <c r="J168" i="1"/>
  <c r="O63" i="1"/>
  <c r="J163" i="1"/>
  <c r="J66" i="1"/>
  <c r="P66" i="1" s="1"/>
  <c r="F107" i="1" l="1"/>
  <c r="G107" i="1"/>
  <c r="H107" i="1"/>
  <c r="E135" i="1" l="1"/>
  <c r="P135" i="1" s="1"/>
  <c r="E136" i="1"/>
  <c r="E137" i="1"/>
  <c r="P137" i="1" s="1"/>
  <c r="I191" i="1" l="1"/>
  <c r="E195" i="1"/>
  <c r="P195" i="1" s="1"/>
  <c r="H200" i="1"/>
  <c r="H191" i="1" s="1"/>
  <c r="F358" i="1" l="1"/>
  <c r="F353" i="1" l="1"/>
  <c r="J43" i="1"/>
  <c r="F43" i="1"/>
  <c r="E43" i="1" s="1"/>
  <c r="E49" i="1"/>
  <c r="P49" i="1" s="1"/>
  <c r="P43" i="1" l="1"/>
  <c r="E187" i="1" l="1"/>
  <c r="P187" i="1" s="1"/>
  <c r="E211" i="1"/>
  <c r="P211" i="1" s="1"/>
  <c r="F325" i="1" l="1"/>
  <c r="F50" i="1"/>
  <c r="H50" i="1"/>
  <c r="G50" i="1"/>
  <c r="G353" i="1" l="1"/>
  <c r="H353" i="1"/>
  <c r="I353" i="1"/>
  <c r="F349" i="1" l="1"/>
  <c r="E349" i="1" s="1"/>
  <c r="P349" i="1" s="1"/>
  <c r="F340" i="1"/>
  <c r="E343" i="1"/>
  <c r="E344" i="1"/>
  <c r="P344" i="1" s="1"/>
  <c r="E345" i="1"/>
  <c r="E347" i="1"/>
  <c r="E348" i="1"/>
  <c r="P348" i="1" s="1"/>
  <c r="E350" i="1"/>
  <c r="P350" i="1" s="1"/>
  <c r="E351" i="1"/>
  <c r="F346" i="1"/>
  <c r="F331" i="1" l="1"/>
  <c r="E340" i="1"/>
  <c r="J365" i="1" l="1"/>
  <c r="P365" i="1" s="1"/>
  <c r="F58" i="1" l="1"/>
  <c r="E58" i="1" s="1"/>
  <c r="P58" i="1" s="1"/>
  <c r="E59" i="1"/>
  <c r="P59" i="1" s="1"/>
  <c r="E64" i="1"/>
  <c r="E68" i="1"/>
  <c r="P68" i="1" s="1"/>
  <c r="F323" i="1"/>
  <c r="G63" i="1" l="1"/>
  <c r="H63" i="1"/>
  <c r="I63" i="1"/>
  <c r="E63" i="1" s="1"/>
  <c r="G370" i="1"/>
  <c r="F103" i="1" l="1"/>
  <c r="F71" i="1" s="1"/>
  <c r="H103" i="1"/>
  <c r="L134" i="1" l="1"/>
  <c r="L125" i="1" s="1"/>
  <c r="M134" i="1"/>
  <c r="M125" i="1" s="1"/>
  <c r="N134" i="1"/>
  <c r="N125" i="1" s="1"/>
  <c r="O134" i="1"/>
  <c r="O125" i="1" s="1"/>
  <c r="J128" i="1"/>
  <c r="K134" i="1"/>
  <c r="K125" i="1" s="1"/>
  <c r="J136" i="1"/>
  <c r="P136" i="1" s="1"/>
  <c r="J131" i="1"/>
  <c r="F163" i="1" l="1"/>
  <c r="E152" i="1"/>
  <c r="P152" i="1" s="1"/>
  <c r="E151" i="1"/>
  <c r="P151" i="1" s="1"/>
  <c r="E150" i="1"/>
  <c r="F169" i="1" l="1"/>
  <c r="F162" i="1" s="1"/>
  <c r="O343" i="1" l="1"/>
  <c r="N343" i="1"/>
  <c r="M343" i="1"/>
  <c r="L343" i="1"/>
  <c r="K343" i="1"/>
  <c r="J345" i="1"/>
  <c r="P345" i="1" s="1"/>
  <c r="J273" i="1"/>
  <c r="P273" i="1" s="1"/>
  <c r="J254" i="1"/>
  <c r="P254" i="1" s="1"/>
  <c r="J343" i="1" l="1"/>
  <c r="P343" i="1" s="1"/>
  <c r="J65" i="1" l="1"/>
  <c r="J64" i="1"/>
  <c r="P64" i="1" s="1"/>
  <c r="J63" i="1" l="1"/>
  <c r="P63" i="1" s="1"/>
  <c r="E207" i="1"/>
  <c r="P207" i="1" s="1"/>
  <c r="E208" i="1"/>
  <c r="E210" i="1"/>
  <c r="P210" i="1" s="1"/>
  <c r="H163" i="1"/>
  <c r="I163" i="1"/>
  <c r="E163" i="1" s="1"/>
  <c r="P163" i="1" s="1"/>
  <c r="G163" i="1"/>
  <c r="E168" i="1"/>
  <c r="P168" i="1" s="1"/>
  <c r="I206" i="1"/>
  <c r="E206" i="1" s="1"/>
  <c r="K206" i="1"/>
  <c r="L206" i="1"/>
  <c r="M206" i="1"/>
  <c r="N206" i="1"/>
  <c r="O206" i="1"/>
  <c r="E212" i="1" l="1"/>
  <c r="P212" i="1" s="1"/>
  <c r="H370" i="1" l="1"/>
  <c r="E99" i="1" l="1"/>
  <c r="E213" i="1"/>
  <c r="I125" i="1" l="1"/>
  <c r="H125" i="1"/>
  <c r="G125" i="1"/>
  <c r="E361" i="1" l="1"/>
  <c r="P361" i="1" s="1"/>
  <c r="J302" i="1" l="1"/>
  <c r="P302" i="1" s="1"/>
  <c r="I181" i="1" l="1"/>
  <c r="E185" i="1"/>
  <c r="E41" i="1" l="1"/>
  <c r="P41" i="1" s="1"/>
  <c r="E39" i="1"/>
  <c r="P39" i="1" s="1"/>
  <c r="E297" i="1" l="1"/>
  <c r="P297" i="1" s="1"/>
  <c r="F291" i="1"/>
  <c r="F320" i="1" l="1"/>
  <c r="E333" i="1"/>
  <c r="J333" i="1"/>
  <c r="G346" i="1"/>
  <c r="G331" i="1" s="1"/>
  <c r="H346" i="1"/>
  <c r="H331" i="1" s="1"/>
  <c r="I346" i="1"/>
  <c r="K346" i="1"/>
  <c r="K331" i="1" s="1"/>
  <c r="L346" i="1"/>
  <c r="L331" i="1" s="1"/>
  <c r="M346" i="1"/>
  <c r="M331" i="1" s="1"/>
  <c r="N346" i="1"/>
  <c r="N331" i="1" s="1"/>
  <c r="O346" i="1"/>
  <c r="O331" i="1" s="1"/>
  <c r="E45" i="1"/>
  <c r="P45" i="1" s="1"/>
  <c r="P333" i="1" l="1"/>
  <c r="I331" i="1"/>
  <c r="E331" i="1" s="1"/>
  <c r="E346" i="1"/>
  <c r="I13" i="1" l="1"/>
  <c r="O13" i="1"/>
  <c r="E65" i="1"/>
  <c r="P65" i="1" s="1"/>
  <c r="E357" i="1"/>
  <c r="P357" i="1" s="1"/>
  <c r="J359" i="1"/>
  <c r="E359" i="1"/>
  <c r="P359" i="1" l="1"/>
  <c r="L103" i="1"/>
  <c r="M103" i="1"/>
  <c r="N103" i="1"/>
  <c r="O103" i="1"/>
  <c r="K103" i="1"/>
  <c r="K71" i="1" s="1"/>
  <c r="L96" i="1"/>
  <c r="M96" i="1"/>
  <c r="N81" i="1"/>
  <c r="M81" i="1"/>
  <c r="L71" i="1" l="1"/>
  <c r="M71" i="1"/>
  <c r="N71" i="1"/>
  <c r="O96" i="1"/>
  <c r="O71" i="1" s="1"/>
  <c r="J97" i="1"/>
  <c r="P97" i="1" s="1"/>
  <c r="J103" i="1"/>
  <c r="F303" i="1"/>
  <c r="G303" i="1"/>
  <c r="H303" i="1"/>
  <c r="I303" i="1"/>
  <c r="E305" i="1"/>
  <c r="P305" i="1" s="1"/>
  <c r="E277" i="1"/>
  <c r="E193" i="1"/>
  <c r="E194" i="1"/>
  <c r="E141" i="1"/>
  <c r="E303" i="1" l="1"/>
  <c r="J204" i="1"/>
  <c r="P303" i="1" l="1"/>
  <c r="E161" i="1"/>
  <c r="P161" i="1" s="1"/>
  <c r="F142" i="1" l="1"/>
  <c r="F139" i="1" s="1"/>
  <c r="E265" i="1" l="1"/>
  <c r="P265" i="1" s="1"/>
  <c r="G275" i="1" l="1"/>
  <c r="H275" i="1"/>
  <c r="E282" i="1"/>
  <c r="P282" i="1" s="1"/>
  <c r="J73" i="1"/>
  <c r="F306" i="1" l="1"/>
  <c r="E73" i="1"/>
  <c r="P73" i="1" l="1"/>
  <c r="F367" i="1"/>
  <c r="G367" i="1"/>
  <c r="H367" i="1"/>
  <c r="I367" i="1"/>
  <c r="K367" i="1"/>
  <c r="L367" i="1"/>
  <c r="M367" i="1"/>
  <c r="N367" i="1"/>
  <c r="O367" i="1"/>
  <c r="E301" i="1" l="1"/>
  <c r="P301" i="1" s="1"/>
  <c r="L191" i="1" l="1"/>
  <c r="P126" i="1" l="1"/>
  <c r="P72" i="1"/>
  <c r="P14" i="1"/>
  <c r="K191" i="1"/>
  <c r="M191" i="1"/>
  <c r="N191" i="1"/>
  <c r="O191" i="1"/>
  <c r="J185" i="1"/>
  <c r="P185" i="1" s="1"/>
  <c r="J190" i="1"/>
  <c r="E134" i="1" l="1"/>
  <c r="J287" i="1" l="1"/>
  <c r="E156" i="1" l="1"/>
  <c r="P156" i="1" s="1"/>
  <c r="G96" i="1" l="1"/>
  <c r="E199" i="1" l="1"/>
  <c r="E15" i="1" l="1"/>
  <c r="P15" i="1" l="1"/>
  <c r="E223" i="1"/>
  <c r="P223" i="1" s="1"/>
  <c r="E224" i="1"/>
  <c r="E307" i="1"/>
  <c r="P307" i="1" s="1"/>
  <c r="E309" i="1"/>
  <c r="E308" i="1"/>
  <c r="E314" i="1"/>
  <c r="J366" i="1" l="1"/>
  <c r="J278" i="1" l="1"/>
  <c r="E132" i="1" l="1"/>
  <c r="E127" i="1"/>
  <c r="E133" i="1"/>
  <c r="E173" i="1" l="1"/>
  <c r="P173" i="1" s="1"/>
  <c r="E176" i="1"/>
  <c r="E128" i="1" l="1"/>
  <c r="P128" i="1" s="1"/>
  <c r="E131" i="1" l="1"/>
  <c r="E138" i="1"/>
  <c r="P138" i="1" s="1"/>
  <c r="E319" i="1"/>
  <c r="E318" i="1"/>
  <c r="E317" i="1"/>
  <c r="E125" i="1" l="1"/>
  <c r="P131" i="1"/>
  <c r="E376" i="1"/>
  <c r="F16" i="1" l="1"/>
  <c r="E16" i="1" l="1"/>
  <c r="P16" i="1" s="1"/>
  <c r="E20" i="1"/>
  <c r="E339" i="1" l="1"/>
  <c r="P339" i="1" s="1"/>
  <c r="E341" i="1"/>
  <c r="E342" i="1"/>
  <c r="P342" i="1" s="1"/>
  <c r="E324" i="1"/>
  <c r="E338" i="1" l="1"/>
  <c r="I96" i="1" l="1"/>
  <c r="E96" i="1" s="1"/>
  <c r="G90" i="1" l="1"/>
  <c r="H90" i="1"/>
  <c r="I90" i="1"/>
  <c r="E90" i="1" s="1"/>
  <c r="H81" i="1" l="1"/>
  <c r="H71" i="1" s="1"/>
  <c r="I81" i="1"/>
  <c r="I107" i="1"/>
  <c r="E107" i="1" s="1"/>
  <c r="P107" i="1" s="1"/>
  <c r="G103" i="1"/>
  <c r="G71" i="1" s="1"/>
  <c r="I103" i="1"/>
  <c r="I71" i="1" l="1"/>
  <c r="E81" i="1"/>
  <c r="E74" i="1"/>
  <c r="P74" i="1" s="1"/>
  <c r="E76" i="1"/>
  <c r="P76" i="1" s="1"/>
  <c r="P81" i="1" l="1"/>
  <c r="F54" i="1"/>
  <c r="J96" i="1" l="1"/>
  <c r="P96" i="1" s="1"/>
  <c r="J119" i="1" l="1"/>
  <c r="P119" i="1" s="1"/>
  <c r="E111" i="1"/>
  <c r="P111" i="1" s="1"/>
  <c r="E109" i="1"/>
  <c r="P109" i="1" s="1"/>
  <c r="E330" i="1" l="1"/>
  <c r="P330" i="1" s="1"/>
  <c r="J337" i="1" l="1"/>
  <c r="J338" i="1"/>
  <c r="P338" i="1" s="1"/>
  <c r="J340" i="1"/>
  <c r="P340" i="1" s="1"/>
  <c r="J341" i="1"/>
  <c r="P341" i="1" s="1"/>
  <c r="J351" i="1" l="1"/>
  <c r="J347" i="1"/>
  <c r="P347" i="1" s="1"/>
  <c r="J332" i="1"/>
  <c r="P332" i="1" s="1"/>
  <c r="I306" i="1"/>
  <c r="E306" i="1" s="1"/>
  <c r="H306" i="1"/>
  <c r="G306" i="1"/>
  <c r="J346" i="1" l="1"/>
  <c r="P351" i="1"/>
  <c r="E264" i="1"/>
  <c r="P264" i="1" s="1"/>
  <c r="J331" i="1" l="1"/>
  <c r="P331" i="1" s="1"/>
  <c r="P346" i="1"/>
  <c r="J318" i="1"/>
  <c r="P318" i="1" s="1"/>
  <c r="J53" i="1" l="1"/>
  <c r="E53" i="1"/>
  <c r="P53" i="1" l="1"/>
  <c r="J328" i="1"/>
  <c r="J329" i="1"/>
  <c r="J317" i="1"/>
  <c r="P317" i="1" s="1"/>
  <c r="J314" i="1"/>
  <c r="P314" i="1" s="1"/>
  <c r="J48" i="1"/>
  <c r="J354" i="1"/>
  <c r="P354" i="1" s="1"/>
  <c r="J368" i="1"/>
  <c r="P368" i="1" s="1"/>
  <c r="J315" i="1" l="1"/>
  <c r="J224" i="1"/>
  <c r="J225" i="1"/>
  <c r="P225" i="1" s="1"/>
  <c r="P224" i="1" l="1"/>
  <c r="E355" i="1"/>
  <c r="E367" i="1" l="1"/>
  <c r="P367" i="1" s="1"/>
  <c r="E322" i="1"/>
  <c r="E328" i="1"/>
  <c r="P328" i="1" s="1"/>
  <c r="E329" i="1"/>
  <c r="P329" i="1" s="1"/>
  <c r="E323" i="1"/>
  <c r="E48" i="1" l="1"/>
  <c r="P48" i="1" s="1"/>
  <c r="G312" i="1" l="1"/>
  <c r="H315" i="1"/>
  <c r="H312" i="1" s="1"/>
  <c r="I315" i="1"/>
  <c r="K315" i="1"/>
  <c r="K312" i="1" s="1"/>
  <c r="L315" i="1"/>
  <c r="L312" i="1" s="1"/>
  <c r="M315" i="1"/>
  <c r="M312" i="1" s="1"/>
  <c r="N315" i="1"/>
  <c r="N312" i="1" s="1"/>
  <c r="O315" i="1"/>
  <c r="O312" i="1" s="1"/>
  <c r="E316" i="1"/>
  <c r="P316" i="1" s="1"/>
  <c r="I312" i="1" l="1"/>
  <c r="E315" i="1"/>
  <c r="P315" i="1" s="1"/>
  <c r="J319" i="1"/>
  <c r="P319" i="1" s="1"/>
  <c r="J313" i="1"/>
  <c r="P313" i="1" s="1"/>
  <c r="G320" i="1"/>
  <c r="H320" i="1"/>
  <c r="I325" i="1"/>
  <c r="K320" i="1"/>
  <c r="L320" i="1"/>
  <c r="M320" i="1"/>
  <c r="N320" i="1"/>
  <c r="O320" i="1"/>
  <c r="J327" i="1"/>
  <c r="J325" i="1" s="1"/>
  <c r="E327" i="1"/>
  <c r="J324" i="1"/>
  <c r="P324" i="1" s="1"/>
  <c r="J323" i="1"/>
  <c r="P323" i="1" s="1"/>
  <c r="J322" i="1"/>
  <c r="P322" i="1" s="1"/>
  <c r="J321" i="1"/>
  <c r="P321" i="1" s="1"/>
  <c r="E268" i="1"/>
  <c r="P268" i="1" s="1"/>
  <c r="J263" i="1"/>
  <c r="J261" i="1" s="1"/>
  <c r="P261" i="1" s="1"/>
  <c r="E263" i="1"/>
  <c r="P327" i="1" l="1"/>
  <c r="P263" i="1"/>
  <c r="J312" i="1"/>
  <c r="E312" i="1"/>
  <c r="I320" i="1"/>
  <c r="E325" i="1"/>
  <c r="P325" i="1" s="1"/>
  <c r="J320" i="1"/>
  <c r="P312" i="1" l="1"/>
  <c r="E320" i="1"/>
  <c r="P320" i="1" l="1"/>
  <c r="F60" i="1"/>
  <c r="J237" i="1" l="1"/>
  <c r="J238" i="1"/>
  <c r="P238" i="1" l="1"/>
  <c r="E108" i="1" l="1"/>
  <c r="P108" i="1" s="1"/>
  <c r="J89" i="1" l="1"/>
  <c r="P89" i="1" s="1"/>
  <c r="J295" i="1" l="1"/>
  <c r="P295" i="1" s="1"/>
  <c r="J46" i="1" l="1"/>
  <c r="J47" i="1"/>
  <c r="E46" i="1"/>
  <c r="E47" i="1"/>
  <c r="P47" i="1" l="1"/>
  <c r="P46" i="1"/>
  <c r="E296" i="1"/>
  <c r="P296" i="1" s="1"/>
  <c r="M13" i="1" l="1"/>
  <c r="N13" i="1"/>
  <c r="L13" i="1"/>
  <c r="J77" i="1" l="1"/>
  <c r="P77" i="1" l="1"/>
  <c r="E237" i="1"/>
  <c r="P237" i="1" s="1"/>
  <c r="J176" i="1" l="1"/>
  <c r="P176" i="1" s="1"/>
  <c r="E106" i="1" l="1"/>
  <c r="P106" i="1" s="1"/>
  <c r="J104" i="1"/>
  <c r="P104" i="1" s="1"/>
  <c r="E103" i="1" l="1"/>
  <c r="P103" i="1" l="1"/>
  <c r="E196" i="1"/>
  <c r="J143" i="1" l="1"/>
  <c r="P143" i="1" s="1"/>
  <c r="J144" i="1"/>
  <c r="E154" i="1"/>
  <c r="K306" i="1" l="1"/>
  <c r="K413" i="1" s="1"/>
  <c r="J288" i="1"/>
  <c r="P288" i="1" s="1"/>
  <c r="J94" i="1"/>
  <c r="P94" i="1" s="1"/>
  <c r="E18" i="1"/>
  <c r="E178" i="1"/>
  <c r="J141" i="1"/>
  <c r="P141" i="1" s="1"/>
  <c r="E203" i="1"/>
  <c r="P203" i="1" s="1"/>
  <c r="E42" i="1"/>
  <c r="E144" i="1"/>
  <c r="P144" i="1" s="1"/>
  <c r="J196" i="1"/>
  <c r="P196" i="1" s="1"/>
  <c r="J197" i="1"/>
  <c r="E197" i="1"/>
  <c r="J294" i="1"/>
  <c r="E294" i="1"/>
  <c r="G18" i="1"/>
  <c r="H18" i="1"/>
  <c r="E54" i="1"/>
  <c r="E148" i="1"/>
  <c r="E283" i="1"/>
  <c r="E287" i="1"/>
  <c r="P287" i="1" s="1"/>
  <c r="E366" i="1"/>
  <c r="P366" i="1" s="1"/>
  <c r="G169" i="1"/>
  <c r="H169" i="1"/>
  <c r="I169" i="1"/>
  <c r="I162" i="1" s="1"/>
  <c r="I139" i="1" s="1"/>
  <c r="E142" i="1"/>
  <c r="J142" i="1"/>
  <c r="J133" i="1"/>
  <c r="P133" i="1" s="1"/>
  <c r="J134" i="1"/>
  <c r="P134" i="1" s="1"/>
  <c r="L306" i="1"/>
  <c r="L413" i="1" s="1"/>
  <c r="M306" i="1"/>
  <c r="M413" i="1" s="1"/>
  <c r="N306" i="1"/>
  <c r="N413" i="1" s="1"/>
  <c r="J178" i="1"/>
  <c r="J90" i="1"/>
  <c r="J92" i="1"/>
  <c r="P92" i="1" s="1"/>
  <c r="J99" i="1"/>
  <c r="P99" i="1" s="1"/>
  <c r="J101" i="1"/>
  <c r="J102" i="1"/>
  <c r="P102" i="1" s="1"/>
  <c r="E101" i="1"/>
  <c r="E71" i="1" s="1"/>
  <c r="J17" i="1"/>
  <c r="J20" i="1"/>
  <c r="P20" i="1" s="1"/>
  <c r="J21" i="1"/>
  <c r="J22" i="1"/>
  <c r="J23" i="1"/>
  <c r="J38" i="1"/>
  <c r="J42" i="1"/>
  <c r="J50" i="1"/>
  <c r="J52" i="1"/>
  <c r="J54" i="1"/>
  <c r="J56" i="1"/>
  <c r="J57" i="1"/>
  <c r="E198" i="1"/>
  <c r="E201" i="1"/>
  <c r="E204" i="1"/>
  <c r="P204" i="1" s="1"/>
  <c r="E190" i="1"/>
  <c r="P190" i="1" s="1"/>
  <c r="E183" i="1"/>
  <c r="E145" i="1"/>
  <c r="E146" i="1"/>
  <c r="E147" i="1"/>
  <c r="E149" i="1"/>
  <c r="E155" i="1"/>
  <c r="E165" i="1"/>
  <c r="P165" i="1" s="1"/>
  <c r="E166" i="1"/>
  <c r="P166" i="1" s="1"/>
  <c r="E167" i="1"/>
  <c r="P167" i="1" s="1"/>
  <c r="E171" i="1"/>
  <c r="P171" i="1" s="1"/>
  <c r="E172" i="1"/>
  <c r="P172" i="1" s="1"/>
  <c r="E179" i="1"/>
  <c r="E251" i="1"/>
  <c r="P251" i="1" s="1"/>
  <c r="E258" i="1"/>
  <c r="E278" i="1"/>
  <c r="P278" i="1" s="1"/>
  <c r="E300" i="1"/>
  <c r="E375" i="1"/>
  <c r="E377" i="1"/>
  <c r="E378" i="1"/>
  <c r="E372" i="1"/>
  <c r="E358" i="1"/>
  <c r="E337" i="1"/>
  <c r="P337" i="1" s="1"/>
  <c r="E310" i="1"/>
  <c r="E311" i="1"/>
  <c r="E56" i="1"/>
  <c r="P56" i="1" s="1"/>
  <c r="E17" i="1"/>
  <c r="E21" i="1"/>
  <c r="P21" i="1" s="1"/>
  <c r="E22" i="1"/>
  <c r="E23" i="1"/>
  <c r="E38" i="1"/>
  <c r="E52" i="1"/>
  <c r="E57" i="1"/>
  <c r="E62" i="1"/>
  <c r="P62" i="1" s="1"/>
  <c r="J201" i="1"/>
  <c r="J200" i="1"/>
  <c r="E209" i="1"/>
  <c r="E214" i="1"/>
  <c r="E215" i="1"/>
  <c r="E216" i="1"/>
  <c r="E217" i="1"/>
  <c r="E220" i="1"/>
  <c r="E221" i="1"/>
  <c r="J217" i="1"/>
  <c r="J311" i="1"/>
  <c r="J132" i="1"/>
  <c r="P132" i="1" s="1"/>
  <c r="J127" i="1"/>
  <c r="P127" i="1" s="1"/>
  <c r="J221" i="1"/>
  <c r="J220" i="1"/>
  <c r="J216" i="1"/>
  <c r="J215" i="1"/>
  <c r="J214" i="1"/>
  <c r="J213" i="1"/>
  <c r="P213" i="1" s="1"/>
  <c r="J209" i="1"/>
  <c r="J208" i="1"/>
  <c r="P208" i="1" s="1"/>
  <c r="J194" i="1"/>
  <c r="P194" i="1" s="1"/>
  <c r="I373" i="1"/>
  <c r="G60" i="1"/>
  <c r="H60" i="1"/>
  <c r="E60" i="1"/>
  <c r="P60" i="1" s="1"/>
  <c r="J375" i="1"/>
  <c r="H54" i="1"/>
  <c r="G54" i="1"/>
  <c r="J193" i="1"/>
  <c r="P193" i="1" s="1"/>
  <c r="J376" i="1"/>
  <c r="P376" i="1" s="1"/>
  <c r="J377" i="1"/>
  <c r="J378" i="1"/>
  <c r="J179" i="1"/>
  <c r="J310" i="1"/>
  <c r="J199" i="1"/>
  <c r="P199" i="1" s="1"/>
  <c r="J358" i="1"/>
  <c r="J140" i="1"/>
  <c r="P140" i="1" s="1"/>
  <c r="J145" i="1"/>
  <c r="J146" i="1"/>
  <c r="J147" i="1"/>
  <c r="J148" i="1"/>
  <c r="J149" i="1"/>
  <c r="J150" i="1"/>
  <c r="P150" i="1" s="1"/>
  <c r="J154" i="1"/>
  <c r="P154" i="1" s="1"/>
  <c r="J155" i="1"/>
  <c r="J183" i="1"/>
  <c r="J355" i="1"/>
  <c r="P355" i="1" s="1"/>
  <c r="J293" i="1"/>
  <c r="J371" i="1"/>
  <c r="P371" i="1" s="1"/>
  <c r="J372" i="1"/>
  <c r="J258" i="1"/>
  <c r="J309" i="1"/>
  <c r="P309" i="1" s="1"/>
  <c r="J198" i="1"/>
  <c r="J277" i="1"/>
  <c r="P277" i="1" s="1"/>
  <c r="J308" i="1"/>
  <c r="P308" i="1" s="1"/>
  <c r="J283" i="1"/>
  <c r="J275" i="1" s="1"/>
  <c r="J71" i="1" l="1"/>
  <c r="P71" i="1" s="1"/>
  <c r="H13" i="1"/>
  <c r="P293" i="1"/>
  <c r="J222" i="1"/>
  <c r="P222" i="1" s="1"/>
  <c r="E181" i="1"/>
  <c r="P181" i="1" s="1"/>
  <c r="P22" i="1"/>
  <c r="P57" i="1"/>
  <c r="P23" i="1"/>
  <c r="P17" i="1"/>
  <c r="P38" i="1"/>
  <c r="P52" i="1"/>
  <c r="P220" i="1"/>
  <c r="P216" i="1"/>
  <c r="P214" i="1"/>
  <c r="P311" i="1"/>
  <c r="P372" i="1"/>
  <c r="P377" i="1"/>
  <c r="P258" i="1"/>
  <c r="P179" i="1"/>
  <c r="P155" i="1"/>
  <c r="P147" i="1"/>
  <c r="P145" i="1"/>
  <c r="P201" i="1"/>
  <c r="P90" i="1"/>
  <c r="P142" i="1"/>
  <c r="P283" i="1"/>
  <c r="P54" i="1"/>
  <c r="P178" i="1"/>
  <c r="P221" i="1"/>
  <c r="P217" i="1"/>
  <c r="P215" i="1"/>
  <c r="P209" i="1"/>
  <c r="P310" i="1"/>
  <c r="P358" i="1"/>
  <c r="P378" i="1"/>
  <c r="P375" i="1"/>
  <c r="P149" i="1"/>
  <c r="P146" i="1"/>
  <c r="P183" i="1"/>
  <c r="P198" i="1"/>
  <c r="P101" i="1"/>
  <c r="P148" i="1"/>
  <c r="P294" i="1"/>
  <c r="P197" i="1"/>
  <c r="P42" i="1"/>
  <c r="E353" i="1"/>
  <c r="J18" i="1"/>
  <c r="J13" i="1" s="1"/>
  <c r="J125" i="1"/>
  <c r="P125" i="1" s="1"/>
  <c r="J139" i="1"/>
  <c r="E275" i="1"/>
  <c r="J353" i="1"/>
  <c r="J373" i="1"/>
  <c r="J370" i="1" s="1"/>
  <c r="E373" i="1"/>
  <c r="E370" i="1" s="1"/>
  <c r="I370" i="1"/>
  <c r="I413" i="1" s="1"/>
  <c r="G162" i="1"/>
  <c r="G139" i="1" s="1"/>
  <c r="J206" i="1"/>
  <c r="P206" i="1" s="1"/>
  <c r="E291" i="1"/>
  <c r="G13" i="1"/>
  <c r="J191" i="1"/>
  <c r="J306" i="1"/>
  <c r="P306" i="1" s="1"/>
  <c r="E50" i="1"/>
  <c r="H162" i="1"/>
  <c r="H139" i="1" s="1"/>
  <c r="E162" i="1"/>
  <c r="E139" i="1" s="1"/>
  <c r="J300" i="1"/>
  <c r="P300" i="1" s="1"/>
  <c r="E169" i="1"/>
  <c r="P169" i="1" s="1"/>
  <c r="E200" i="1"/>
  <c r="P200" i="1" s="1"/>
  <c r="O306" i="1"/>
  <c r="O413" i="1" s="1"/>
  <c r="J291" i="1" l="1"/>
  <c r="P291" i="1" s="1"/>
  <c r="P275" i="1"/>
  <c r="P18" i="1"/>
  <c r="P162" i="1"/>
  <c r="E13" i="1"/>
  <c r="P50" i="1"/>
  <c r="P373" i="1"/>
  <c r="P353" i="1"/>
  <c r="E191" i="1"/>
  <c r="P191" i="1" s="1"/>
  <c r="G413" i="1"/>
  <c r="H413" i="1"/>
  <c r="P13" i="1" l="1"/>
  <c r="P370" i="1"/>
  <c r="P139" i="1"/>
  <c r="E413" i="1"/>
  <c r="J413" i="1"/>
  <c r="P413" i="1" l="1"/>
  <c r="F275" i="1"/>
  <c r="F413" i="1" s="1"/>
</calcChain>
</file>

<file path=xl/sharedStrings.xml><?xml version="1.0" encoding="utf-8"?>
<sst xmlns="http://schemas.openxmlformats.org/spreadsheetml/2006/main" count="981" uniqueCount="661">
  <si>
    <t>(грн.)</t>
  </si>
  <si>
    <t>Разом</t>
  </si>
  <si>
    <t>Всього</t>
  </si>
  <si>
    <t>з них</t>
  </si>
  <si>
    <t>оплата праці</t>
  </si>
  <si>
    <t>комунальні послуги та енергоносії</t>
  </si>
  <si>
    <t>Виконавчий комітет Івано-Франківської міської ради</t>
  </si>
  <si>
    <t>Компенсацiйнi виплати за пiльговий проїзд окремих категорiй громадян на залізничному транспорті</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</si>
  <si>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</si>
  <si>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Охорона та раціональне використання природних ресурсів</t>
  </si>
  <si>
    <t>Секретар міської ради</t>
  </si>
  <si>
    <t>Багатопрофільна стаціонарна медична допомога населенню</t>
  </si>
  <si>
    <t>Внески до статутного капіталу суб'єктів господарювання</t>
  </si>
  <si>
    <t xml:space="preserve">Лікарсько-акушерська допомога вагітним, породіллям та новонародженим  </t>
  </si>
  <si>
    <t>0180</t>
  </si>
  <si>
    <t>0133</t>
  </si>
  <si>
    <t>0930</t>
  </si>
  <si>
    <t>0511</t>
  </si>
  <si>
    <t>0731</t>
  </si>
  <si>
    <t>0733</t>
  </si>
  <si>
    <t>0721</t>
  </si>
  <si>
    <t>0763</t>
  </si>
  <si>
    <t>0111</t>
  </si>
  <si>
    <t>1070</t>
  </si>
  <si>
    <t>0620</t>
  </si>
  <si>
    <t>0490</t>
  </si>
  <si>
    <t>0411</t>
  </si>
  <si>
    <t xml:space="preserve">в тому числі </t>
  </si>
  <si>
    <t>- виконання рішень судів, стягнення судових витрат</t>
  </si>
  <si>
    <t>0910</t>
  </si>
  <si>
    <t>0921</t>
  </si>
  <si>
    <t>0922</t>
  </si>
  <si>
    <t>0960</t>
  </si>
  <si>
    <t>0950</t>
  </si>
  <si>
    <t>0990</t>
  </si>
  <si>
    <t>1040</t>
  </si>
  <si>
    <t>0810</t>
  </si>
  <si>
    <t xml:space="preserve">Проведення навчально-тренувальних зборiв i змагань з олімпійських видів спорту </t>
  </si>
  <si>
    <t>5011</t>
  </si>
  <si>
    <t>- видатки на виконання судових рішень</t>
  </si>
  <si>
    <t>4060</t>
  </si>
  <si>
    <t>0824</t>
  </si>
  <si>
    <t>0828</t>
  </si>
  <si>
    <t>0829</t>
  </si>
  <si>
    <t>0830</t>
  </si>
  <si>
    <t>1030</t>
  </si>
  <si>
    <t>1060</t>
  </si>
  <si>
    <t>1010</t>
  </si>
  <si>
    <t>1020</t>
  </si>
  <si>
    <t>1090</t>
  </si>
  <si>
    <t>0821</t>
  </si>
  <si>
    <t xml:space="preserve"> видатки споживання</t>
  </si>
  <si>
    <t>видатки розвитку</t>
  </si>
  <si>
    <t>Внески до статутного капіталу суб’єктів господарювання</t>
  </si>
  <si>
    <t>Пільгове медичне обслуговування осіб, які постраждали внаслідок Чорнобильської катастрофи</t>
  </si>
  <si>
    <t>Утримання та  навчально-тренувальна робота комунальних дитячо-юнацьких  спортивних шкіл</t>
  </si>
  <si>
    <t>0320</t>
  </si>
  <si>
    <t xml:space="preserve">Проведення навчально-тренувальних зборiв i змагань з неолімпійських видів спорту </t>
  </si>
  <si>
    <t>5012</t>
  </si>
  <si>
    <t>0160</t>
  </si>
  <si>
    <t>3131</t>
  </si>
  <si>
    <t>Здійснення заходів та реалізація проектів на виконання Державної цільової соціальної програми "Молодь України"</t>
  </si>
  <si>
    <t>5021</t>
  </si>
  <si>
    <t>5022</t>
  </si>
  <si>
    <t>5031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</si>
  <si>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</si>
  <si>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</si>
  <si>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</si>
  <si>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</si>
  <si>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4010</t>
  </si>
  <si>
    <t>Фінансова підтримка театрів</t>
  </si>
  <si>
    <t>4030</t>
  </si>
  <si>
    <t>Забезпечення діяльності бiблiотек</t>
  </si>
  <si>
    <t>Забезпечення діяльності палаців і будинків культури, клубів, центрів дозвілля та інші клубних закладів</t>
  </si>
  <si>
    <t>8410</t>
  </si>
  <si>
    <t>8130</t>
  </si>
  <si>
    <t>7670</t>
  </si>
  <si>
    <t>Надання дошкільної освіти</t>
  </si>
  <si>
    <t>Підвищення кваліфікації, перепідготовка кадрів закладами післядипломної освіти</t>
  </si>
  <si>
    <t>1150</t>
  </si>
  <si>
    <t xml:space="preserve">Методичне забезпечення діяльності навчальних закладів </t>
  </si>
  <si>
    <t>1160</t>
  </si>
  <si>
    <t>3132</t>
  </si>
  <si>
    <t>Утримання клубів для підлітків за місцем проживання</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</si>
  <si>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</si>
  <si>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</si>
  <si>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 xml:space="preserve">Управління охорони здоров'я Івано-Франківської міської ради </t>
  </si>
  <si>
    <t>2030</t>
  </si>
  <si>
    <t>2080</t>
  </si>
  <si>
    <t>6013</t>
  </si>
  <si>
    <t>Забезпечення діяльності водопровідно-каналізаційного господарства</t>
  </si>
  <si>
    <t>6030</t>
  </si>
  <si>
    <t>Організація благоустрою населених пунктів</t>
  </si>
  <si>
    <t>8311</t>
  </si>
  <si>
    <t>Реалізація інших заходів щодо соціально-економічного розвитку територій</t>
  </si>
  <si>
    <t>7610</t>
  </si>
  <si>
    <t>8600</t>
  </si>
  <si>
    <t>Обслуговування  місцевого боргу</t>
  </si>
  <si>
    <t>0170</t>
  </si>
  <si>
    <t>Надання інших пільг окремим категоріям громадян відповідно до законодавства</t>
  </si>
  <si>
    <t>3032</t>
  </si>
  <si>
    <t>3121</t>
  </si>
  <si>
    <t>0600000</t>
  </si>
  <si>
    <t>0700000</t>
  </si>
  <si>
    <t>0710000</t>
  </si>
  <si>
    <t>0710160</t>
  </si>
  <si>
    <t>0712010</t>
  </si>
  <si>
    <t>0712030</t>
  </si>
  <si>
    <t>0712080</t>
  </si>
  <si>
    <t>0800000</t>
  </si>
  <si>
    <t>0900000</t>
  </si>
  <si>
    <t>1000000</t>
  </si>
  <si>
    <t>3700000</t>
  </si>
  <si>
    <t>3710000</t>
  </si>
  <si>
    <t>3710160</t>
  </si>
  <si>
    <t>3718600</t>
  </si>
  <si>
    <t>1200000</t>
  </si>
  <si>
    <t>1210000</t>
  </si>
  <si>
    <t>1210160</t>
  </si>
  <si>
    <t>1216030</t>
  </si>
  <si>
    <t>1217670</t>
  </si>
  <si>
    <t>0810160</t>
  </si>
  <si>
    <t>0813031</t>
  </si>
  <si>
    <t>0813032</t>
  </si>
  <si>
    <t>0813050</t>
  </si>
  <si>
    <t>0813090</t>
  </si>
  <si>
    <t>0813104</t>
  </si>
  <si>
    <t>0813121</t>
  </si>
  <si>
    <t>0810000</t>
  </si>
  <si>
    <t>0218130</t>
  </si>
  <si>
    <t>0610000</t>
  </si>
  <si>
    <t>0610160</t>
  </si>
  <si>
    <t>0611010</t>
  </si>
  <si>
    <t>0611020</t>
  </si>
  <si>
    <t>0611070</t>
  </si>
  <si>
    <t>0611140</t>
  </si>
  <si>
    <t>0611150</t>
  </si>
  <si>
    <t>0611160</t>
  </si>
  <si>
    <t>0613132</t>
  </si>
  <si>
    <t>0615031</t>
  </si>
  <si>
    <t>0910000</t>
  </si>
  <si>
    <t>0910160</t>
  </si>
  <si>
    <t>1010000</t>
  </si>
  <si>
    <t>1010160</t>
  </si>
  <si>
    <t>1014010</t>
  </si>
  <si>
    <t>1014030</t>
  </si>
  <si>
    <t>1014060</t>
  </si>
  <si>
    <t>1900000</t>
  </si>
  <si>
    <t>1910000</t>
  </si>
  <si>
    <t>1910160</t>
  </si>
  <si>
    <t>1916030</t>
  </si>
  <si>
    <t>0813033</t>
  </si>
  <si>
    <t>3033</t>
  </si>
  <si>
    <t>0813035</t>
  </si>
  <si>
    <t>3035</t>
  </si>
  <si>
    <t>0210180</t>
  </si>
  <si>
    <t>Інша діяльність у сфері державного управління</t>
  </si>
  <si>
    <t>0217680</t>
  </si>
  <si>
    <t>7680</t>
  </si>
  <si>
    <t>0218210</t>
  </si>
  <si>
    <t>8210</t>
  </si>
  <si>
    <t>0380</t>
  </si>
  <si>
    <t>Муніципальні формування з охорони громадського порядку</t>
  </si>
  <si>
    <t>видатки на утримання Громадського формування з охорони громадського порядку "Штаб"</t>
  </si>
  <si>
    <t>0218220</t>
  </si>
  <si>
    <t>8220</t>
  </si>
  <si>
    <t>0218110</t>
  </si>
  <si>
    <t>8110</t>
  </si>
  <si>
    <t>- відшкодування комунальних послуг за призовну дільницю</t>
  </si>
  <si>
    <t xml:space="preserve">у тому числі: </t>
  </si>
  <si>
    <t>Членські внески до асоціацій органів місцевого самоврядування</t>
  </si>
  <si>
    <t>3710180</t>
  </si>
  <si>
    <t>Іншi діяльність у сфері державного управління</t>
  </si>
  <si>
    <t>Заходи та роботи з мобілізаційної підготовки місцевого значення</t>
  </si>
  <si>
    <t>7622</t>
  </si>
  <si>
    <t>0470</t>
  </si>
  <si>
    <t>2710000</t>
  </si>
  <si>
    <t>2710160</t>
  </si>
  <si>
    <t>2717693</t>
  </si>
  <si>
    <t>2717640</t>
  </si>
  <si>
    <t>7640</t>
  </si>
  <si>
    <t>Інші заходи, пов'язані з економічною діяльністю</t>
  </si>
  <si>
    <t>у тому числі:</t>
  </si>
  <si>
    <t>2717610</t>
  </si>
  <si>
    <t>2700000</t>
  </si>
  <si>
    <t>3100000</t>
  </si>
  <si>
    <t>3110000</t>
  </si>
  <si>
    <t>3110160</t>
  </si>
  <si>
    <t>3117130</t>
  </si>
  <si>
    <t>7130</t>
  </si>
  <si>
    <t>0421</t>
  </si>
  <si>
    <t>Здійснення заходів із землеустрою</t>
  </si>
  <si>
    <t>Іншi програми, заклади та заходи у сфері освіти</t>
  </si>
  <si>
    <t>7350</t>
  </si>
  <si>
    <t>0443</t>
  </si>
  <si>
    <t>1600000</t>
  </si>
  <si>
    <t>1610000</t>
  </si>
  <si>
    <t>1610160</t>
  </si>
  <si>
    <t>1617350</t>
  </si>
  <si>
    <t>Організація та проведення громадських робіт</t>
  </si>
  <si>
    <t>1050</t>
  </si>
  <si>
    <t xml:space="preserve"> за рахунок субвенції з обласного бюджету</t>
  </si>
  <si>
    <t>Центр соціально-психологічної реабілітації "Дивосвіт"</t>
  </si>
  <si>
    <t>Будинок нічного перебування</t>
  </si>
  <si>
    <t>1500000</t>
  </si>
  <si>
    <t>1510000</t>
  </si>
  <si>
    <t>1510160</t>
  </si>
  <si>
    <t>1910180</t>
  </si>
  <si>
    <t>1210180</t>
  </si>
  <si>
    <t>0210160</t>
  </si>
  <si>
    <t>0453</t>
  </si>
  <si>
    <t>1510180</t>
  </si>
  <si>
    <t>1917422</t>
  </si>
  <si>
    <t>7422</t>
  </si>
  <si>
    <t>Регулювання цін на послуги місцевого наземного електротранспорту</t>
  </si>
  <si>
    <t>6011</t>
  </si>
  <si>
    <t>Експлуатація та технічне обслуговування житлового фонду</t>
  </si>
  <si>
    <t>7310</t>
  </si>
  <si>
    <t>1517310</t>
  </si>
  <si>
    <t>1517330</t>
  </si>
  <si>
    <t>7330</t>
  </si>
  <si>
    <t>Утримання та фінансова підтримка спортивних споруд</t>
  </si>
  <si>
    <t>5041</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</si>
  <si>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</si>
  <si>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0813180</t>
  </si>
  <si>
    <t>3180</t>
  </si>
  <si>
    <t>0813241</t>
  </si>
  <si>
    <t>3241</t>
  </si>
  <si>
    <t>Забезпечення діяльності інших закладів у сфері соціального захисту і соціального забезпечення</t>
  </si>
  <si>
    <t>0813240</t>
  </si>
  <si>
    <t>3240</t>
  </si>
  <si>
    <t>0813242</t>
  </si>
  <si>
    <t>3242</t>
  </si>
  <si>
    <t>Інші заходи у сфері соціального захисту і соціального забезпечення</t>
  </si>
  <si>
    <t>в тому числі :</t>
  </si>
  <si>
    <t xml:space="preserve">інші видатки на соціальний захист населення </t>
  </si>
  <si>
    <t>0813160</t>
  </si>
  <si>
    <t>3160</t>
  </si>
  <si>
    <t>Надання соціальних гарантій фізичним особам , які надають соціальні послуги громадянам похилого віку, особам з інвалідністю , дітям з інвалідністю, хворим , які не здатні до самообслуговування і потребують сторонньої допомоги.</t>
  </si>
  <si>
    <t>Амбулаторно-поліклінічна допомога населенню, крім первинної медичної допомоги</t>
  </si>
  <si>
    <t>Утримання центрів фізичної культури і спорту осіб з інвалідністю і реабілітаційних шкіл</t>
  </si>
  <si>
    <t>Проведення навчально-тренувальних зборiв i змагань та заходiв зі спорту осіб з інвалідністю</t>
  </si>
  <si>
    <t>4081</t>
  </si>
  <si>
    <t>1014081</t>
  </si>
  <si>
    <t>Забезпечення діяльності інших закладів в галузі культури і мистецтва</t>
  </si>
  <si>
    <t>1014082</t>
  </si>
  <si>
    <t>4082</t>
  </si>
  <si>
    <t>Інші заходи в галузі культури і мистецтва</t>
  </si>
  <si>
    <t>1017691</t>
  </si>
  <si>
    <t>7691</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</si>
  <si>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</si>
  <si>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0617691</t>
  </si>
  <si>
    <t>0717691</t>
  </si>
  <si>
    <t>0817691</t>
  </si>
  <si>
    <t>0917691</t>
  </si>
  <si>
    <t>0213210</t>
  </si>
  <si>
    <t>3210</t>
  </si>
  <si>
    <t>Заходи із запобігання та ліквідації надзвичайних ситуацій та наслідків стихійного лиха</t>
  </si>
  <si>
    <t>0810180</t>
  </si>
  <si>
    <t>2717370</t>
  </si>
  <si>
    <t>7370</t>
  </si>
  <si>
    <t xml:space="preserve">Реалізація програм і заходів в галузі туризму та курортів </t>
  </si>
  <si>
    <t>Видатки на поховання учасників бойових дій тата осіб з інвалідністю внаслідок війни.</t>
  </si>
  <si>
    <t>Інші заклади та заходи:</t>
  </si>
  <si>
    <t>2111</t>
  </si>
  <si>
    <t>Первинна медична допомога населенню, що надається центрами первинної медичної (медико-санітарної) допомоги</t>
  </si>
  <si>
    <t>7693</t>
  </si>
  <si>
    <t>у тому числі бюджет розвитку</t>
  </si>
  <si>
    <t>Код Програмної класифікації видатків та кредитування місцевих бюджетів</t>
  </si>
  <si>
    <t>Код Типової програмної класифікації видатків та кредитування місцевих бюджетів</t>
  </si>
  <si>
    <t>Код Функціональної класифікації видатків та кредитування бюджету</t>
  </si>
  <si>
    <t>Загальний фонд</t>
  </si>
  <si>
    <t>Спеціальний фонд</t>
  </si>
  <si>
    <t>0712152</t>
  </si>
  <si>
    <t>2152</t>
  </si>
  <si>
    <t>в тому числі</t>
  </si>
  <si>
    <t>1218311</t>
  </si>
  <si>
    <t>0712111</t>
  </si>
  <si>
    <t>0726</t>
  </si>
  <si>
    <t>Інші програми  та заходи у сфері  охорона здоров'я</t>
  </si>
  <si>
    <t>0217693</t>
  </si>
  <si>
    <t>1610180</t>
  </si>
  <si>
    <t>1014020</t>
  </si>
  <si>
    <t>4020</t>
  </si>
  <si>
    <t>0822</t>
  </si>
  <si>
    <t>Фінансова підтримка філармоній, художніх і музичних колективів, ансамблів, концертних та циркових організацій</t>
  </si>
  <si>
    <t>примусове виконання рішень суду</t>
  </si>
  <si>
    <t>8420</t>
  </si>
  <si>
    <t>Проведення міжнародного мистецького фестивалю країн Карпатського регіону «Carpathian Space»</t>
  </si>
  <si>
    <t>1517370</t>
  </si>
  <si>
    <t>від ________ №________</t>
  </si>
  <si>
    <t>Забезпечення діяльності інклюзивно-ресурсних центрів</t>
  </si>
  <si>
    <t>Управління транспорту та зв'язку Івано-Франківської міської ради</t>
  </si>
  <si>
    <t>Департамент культури  Івано-Франківської міської ради</t>
  </si>
  <si>
    <t>Департамент соціальної політики виконкому Івано-Франківської міської ради</t>
  </si>
  <si>
    <t>Департамент молодіжної політики та спорту Івано-Франківської міської ради</t>
  </si>
  <si>
    <t>Служба у справах дітей виконавчого комітету Івано-Франківської міської ради</t>
  </si>
  <si>
    <t>Департамент освіти та науки  Івано-Франківської міської ради</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</si>
  <si>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</si>
  <si>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3118311</t>
  </si>
  <si>
    <t>1216016</t>
  </si>
  <si>
    <t>6016</t>
  </si>
  <si>
    <t>Впровадження засобів обліку витрат та регулювання споживання води та теплової енергії</t>
  </si>
  <si>
    <t>КП"Простір Інноваційних Креацій "Палац" (Потоцьких)</t>
  </si>
  <si>
    <t xml:space="preserve">Інша діяльність у сфері державного управління </t>
  </si>
  <si>
    <t>Додаток 3</t>
  </si>
  <si>
    <t>Програма розвитку місцевого самоврядування та громадянського суспільства в м.Івано-Франківську на 2020-2025 роки</t>
  </si>
  <si>
    <t>Програма "Духовне життя " на 2020-2025 роки</t>
  </si>
  <si>
    <t>1400000</t>
  </si>
  <si>
    <t>1410000</t>
  </si>
  <si>
    <t>Департамент  благоустрою Івано-Франківської міської ради</t>
  </si>
  <si>
    <t>1410160</t>
  </si>
  <si>
    <t>3400000</t>
  </si>
  <si>
    <t>3410000</t>
  </si>
  <si>
    <t>3410160</t>
  </si>
  <si>
    <t>Департамент адміністративних послуг ( Центр надання адміністративних послуг) Івано-Франківської міської ради</t>
  </si>
  <si>
    <t>2500000</t>
  </si>
  <si>
    <t>2510000</t>
  </si>
  <si>
    <t>2510160</t>
  </si>
  <si>
    <t>2517622</t>
  </si>
  <si>
    <t>2517693</t>
  </si>
  <si>
    <t>2300000</t>
  </si>
  <si>
    <t>2310000</t>
  </si>
  <si>
    <t>2310160</t>
  </si>
  <si>
    <t>Департамент стратегічного розвитку, цифрових трансформацій, роботи із засобами масової інформації, комунікації з мешканцями Івано-Франківської міської ради</t>
  </si>
  <si>
    <t>2310180</t>
  </si>
  <si>
    <t>2318420</t>
  </si>
  <si>
    <t>Надання позашкільної освіти  закладами позашкільної освіти, заходи із позашкільної роботи з дітьми</t>
  </si>
  <si>
    <t>Цільова програма Івано-Франківської міської територіальної громади організації та відзначення загальнодержавних свят територіальної громади, державних пам'ятних дат, релігійних та історичних подій на 2021-2025 роки</t>
  </si>
  <si>
    <t>в тому числі:</t>
  </si>
  <si>
    <t>Департамент містобудування та архітектури  Івано-Франківської міської ради</t>
  </si>
  <si>
    <t>1416030</t>
  </si>
  <si>
    <t>1417670</t>
  </si>
  <si>
    <t>Департамент економічного  розвитку, екології  та енергозбереження Івано-Франківської  міської ради</t>
  </si>
  <si>
    <t>2318410</t>
  </si>
  <si>
    <t>1410180</t>
  </si>
  <si>
    <t>Програма щодо співпраці між професійно-технічними навчальними закладами та промисловими підприємствами і  МСП Івано-Франківської міської територіальної громади</t>
  </si>
  <si>
    <t>Програма промоції Івано-Франківської міської територіальної громади на 2021-2025 роки</t>
  </si>
  <si>
    <t>2717670</t>
  </si>
  <si>
    <t>Програма легалізації заробітної плати та найманої праці  на 2021-2025 роки</t>
  </si>
  <si>
    <t>Управління капітального будівництва  Івано-Франківської міської ради</t>
  </si>
  <si>
    <t>Комплексна  програма  сприяння залученню інвестицій в економіку Івано-Франківської міської територіальної громади та проєктної діяльності на  2021 – 2025 роки</t>
  </si>
  <si>
    <t>Фінансове управління Івано-Франківської міської ради</t>
  </si>
  <si>
    <t>(код бюджету)</t>
  </si>
  <si>
    <t>1011080</t>
  </si>
  <si>
    <t>1080</t>
  </si>
  <si>
    <t>0611021</t>
  </si>
  <si>
    <t>0611025</t>
  </si>
  <si>
    <t>1025</t>
  </si>
  <si>
    <t>0611030</t>
  </si>
  <si>
    <t>Надання загальної середньої освіти  за рахунок освітньої субвенції</t>
  </si>
  <si>
    <t>0611031</t>
  </si>
  <si>
    <t>1031</t>
  </si>
  <si>
    <t>1035</t>
  </si>
  <si>
    <t>0611120</t>
  </si>
  <si>
    <t>1120</t>
  </si>
  <si>
    <t>0611130</t>
  </si>
  <si>
    <t>1130</t>
  </si>
  <si>
    <t>0611141</t>
  </si>
  <si>
    <t>1141</t>
  </si>
  <si>
    <t>0611142</t>
  </si>
  <si>
    <t>1142</t>
  </si>
  <si>
    <t>1140</t>
  </si>
  <si>
    <t>0611151</t>
  </si>
  <si>
    <t>1151</t>
  </si>
  <si>
    <t>0611152</t>
  </si>
  <si>
    <t>1152</t>
  </si>
  <si>
    <t>Забезпечення діяльності центрів професійного розвитку педагогічних працівників</t>
  </si>
  <si>
    <t>0611090</t>
  </si>
  <si>
    <t>Підготовка кадрів закладами професійної (професійно-технічної) освіти та іншими закладами освіти</t>
  </si>
  <si>
    <t>0611091</t>
  </si>
  <si>
    <t>1091</t>
  </si>
  <si>
    <t>Підготовка кадрів закладами професійної (професійно-технічної) освіти та іншими закладами освіти за рахунок коштів місцевого бюджету</t>
  </si>
  <si>
    <t>0611092</t>
  </si>
  <si>
    <t>1092</t>
  </si>
  <si>
    <t>Підготовка кадрів закладами професійної (професійно-технічної) освіти та іншими закладами освіти за рахунок освітньої субвенції</t>
  </si>
  <si>
    <t xml:space="preserve">Утримання та забезпечення діяльності центрів  соціальних служб </t>
  </si>
  <si>
    <t>Надання пільг окремим категоріям громадян з оплати послуг зв`язку</t>
  </si>
  <si>
    <t>Забезпечення діяльності інших  закладів у сфері освіти</t>
  </si>
  <si>
    <t xml:space="preserve"> Іншi програми та заходи у сфері освіти</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</si>
  <si>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</si>
  <si>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коштів освітньої субвенції</t>
  </si>
  <si>
    <t>8710</t>
  </si>
  <si>
    <t>Резервний фонд місцевого бюджету</t>
  </si>
  <si>
    <t>3718710</t>
  </si>
  <si>
    <t>Надання загальної середньої освіти  за рахунок коштів місцевого бюджету</t>
  </si>
  <si>
    <t>0610180</t>
  </si>
  <si>
    <t>Програма забезпечення виконання рішень суду щодо безспірного списання коштів з розпорядника бюджетних коштів Департаменту  освіти та науки Івано-Франківської  міської ради на 2021-2025 роки</t>
  </si>
  <si>
    <t>Керівництво і управління увідповідній  сфері у містах (місті Києві), селищах, селах, територіальних громадах</t>
  </si>
  <si>
    <t>Комплексна програма запобігання виникненню надзвичайних ситуацій природного і техногенного характеру та підвищення рівня готовності аварійно-рятувальної служби м.Івано-Франківська до дій за призначенням на 2021-2025 роки</t>
  </si>
  <si>
    <t>видатки на утримання КП "Муніципальна інспенкція "Добродій"</t>
  </si>
  <si>
    <t>7140</t>
  </si>
  <si>
    <t>Інші заходи у сфері сільського господарства</t>
  </si>
  <si>
    <t>Сприяння розвитку малого та середнього підприємництва в тому числі:</t>
  </si>
  <si>
    <t>Заходи з енергозбереження в тому числі:</t>
  </si>
  <si>
    <t>Програма сталого енергетичного розвитку Івано-Франківської міької територіальної громади до 2030 року</t>
  </si>
  <si>
    <t>0210170</t>
  </si>
  <si>
    <t>0131</t>
  </si>
  <si>
    <t>Підвищення кваліфікації депутатів місцевих ради та посадових осіб місцевого самоврядування в тому числі:</t>
  </si>
  <si>
    <t>0611101</t>
  </si>
  <si>
    <t>1101</t>
  </si>
  <si>
    <t xml:space="preserve">Підготовка кадрів закладами фахової передвищої освіти за рахунок коштів місцевого бюджету </t>
  </si>
  <si>
    <t>1216011</t>
  </si>
  <si>
    <t>0813192</t>
  </si>
  <si>
    <t>3192</t>
  </si>
  <si>
    <t>Надання фінансової підтримки громадським організаціям ветеранів і осіб з інвалідністю, діяльність яких має соціальну спрямованість</t>
  </si>
  <si>
    <t>0941</t>
  </si>
  <si>
    <t xml:space="preserve">Надання спеціалізованої освіти мистецькими школами  </t>
  </si>
  <si>
    <t>0913241</t>
  </si>
  <si>
    <t>Програми і заходи цнтру  служб для сім'ї, дітей та молоді</t>
  </si>
  <si>
    <t>Розроблення схем планування та забудови територій (містобудівної документації) в тому числі:</t>
  </si>
  <si>
    <t>Розроблення містобудівної документації</t>
  </si>
  <si>
    <t>Керівництво і управління у відповідній  сфері у містах (місті Києві), селищах, селах, територіальних громадах</t>
  </si>
  <si>
    <t>1516030</t>
  </si>
  <si>
    <t>1416013</t>
  </si>
  <si>
    <t>0813230</t>
  </si>
  <si>
    <t>3230</t>
  </si>
  <si>
    <t>Видатки пов'язані з наданням підтримки внутрішньо переміщеним та/або евакуйованим особам у зв’язку із введенням воєнного стану в Україні</t>
  </si>
  <si>
    <t>1700000</t>
  </si>
  <si>
    <t>1710000</t>
  </si>
  <si>
    <t>1710160</t>
  </si>
  <si>
    <t xml:space="preserve">  0953300000      </t>
  </si>
  <si>
    <t>3117140</t>
  </si>
  <si>
    <t>3117110</t>
  </si>
  <si>
    <t>7110</t>
  </si>
  <si>
    <t>Реалізація програм в галузі сільського господарства</t>
  </si>
  <si>
    <t>0218240</t>
  </si>
  <si>
    <t xml:space="preserve"> Заходи та роботи з територіальної оборони</t>
  </si>
  <si>
    <t>8240</t>
  </si>
  <si>
    <t>Проєкт "Нова економіка  Івано-Франківська"</t>
  </si>
  <si>
    <t>Програма розвитку КВП "Архітектурно-планувальне бюро-ІФ"</t>
  </si>
  <si>
    <t>Програма розвитку міжнародного і транскордонного співробітництва Івано-Франківської міської територіальної громади  на 2023-2027 роки</t>
  </si>
  <si>
    <t>Забезпечення діяльності місцевої  та добровільної пожежної охорони</t>
  </si>
  <si>
    <t>КП Муніципальні ринки Івано-Франківської міської ради</t>
  </si>
  <si>
    <t>1617691</t>
  </si>
  <si>
    <t>Містечко милосердя "Святого Миколая"</t>
  </si>
  <si>
    <t>0217140</t>
  </si>
  <si>
    <t>КП "Франківськ АГРО"</t>
  </si>
  <si>
    <t>Будівництво об'єктів житлово-комунального господарства</t>
  </si>
  <si>
    <t>Будівництво інших об'єктів комунальної власності</t>
  </si>
  <si>
    <t>Розподіл видатків  бюджету  Івано-Франківської міської територіальної громади на 2024 рік</t>
  </si>
  <si>
    <t>3133</t>
  </si>
  <si>
    <t>0611035</t>
  </si>
  <si>
    <t>КЗ "Дім воїна"</t>
  </si>
  <si>
    <t>КУ "ІФМЦ "Рух""</t>
  </si>
  <si>
    <t xml:space="preserve">в т. ч. </t>
  </si>
  <si>
    <t>КП "Електроавтотранс"</t>
  </si>
  <si>
    <t>КП "Івано-Франківськводоекотехпром"</t>
  </si>
  <si>
    <t>ДМП "Івано-Франківськтеплокомуненерго"</t>
  </si>
  <si>
    <t>в т.ч.</t>
  </si>
  <si>
    <t>Інші заходи громадського порядку та безпеки</t>
  </si>
  <si>
    <t>0218230</t>
  </si>
  <si>
    <t>8230</t>
  </si>
  <si>
    <t>Програма заходів національного спротиву ІФ МТГ та підтримки добровольчих формувань територіальної громади на 2024 рік</t>
  </si>
  <si>
    <t xml:space="preserve"> в тому числі:Комплексна програма профілактики злочинності в місті до 2028 року</t>
  </si>
  <si>
    <t>Співфінансування проєкту "Створення інфраструктури для бізнесу, що постраждав від війни", в рамках Програми розвитку ООН в Україні</t>
  </si>
  <si>
    <t>2718330</t>
  </si>
  <si>
    <t>8330</t>
  </si>
  <si>
    <t>0540</t>
  </si>
  <si>
    <t>Інша діяльність у сфері екології та охорони природних ресурсів</t>
  </si>
  <si>
    <t>Програма охорони навколишнього природного середовища Івано-Франківської міської територіальної громади на 2021-2025 роки</t>
  </si>
  <si>
    <t>Програма поліпшення стану безпеки, гігєни праці та виробничого середовища на 2024-2028 роки Івано-Франківської міської територіальної громади</t>
  </si>
  <si>
    <t>Програма поетапного відключення (відокремлення ) споживачів теплової енергії, що постачається котельнею на вул. Індустріальній, 34, від системи централізованого опалення та переведення їх на альтернативні джерела теплопостачання</t>
  </si>
  <si>
    <t>Програма  сприяння розвитку підприємництва в Івано-Франкіській міській територіальній громаді на 2022-2025 роки</t>
  </si>
  <si>
    <t>Програма сприяння розвитку волонтерства Івано-Франківської міської територіальної громади  на 2023-2025 роки</t>
  </si>
  <si>
    <t>Інші заходи та заклади молодіжної політики, в т. ч.:</t>
  </si>
  <si>
    <t>КЗ "Центр соціальної  підтримки дітей та сімей" ІФМР</t>
  </si>
  <si>
    <t>Компенсаційні виплати на пільговий проїзд автомобільним транспортом окремим категоріям громадян</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</si>
  <si>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</si>
  <si>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</si>
  <si>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освітньої субвенції</t>
  </si>
  <si>
    <t>Управління з питань державного  архітектурно-будівельного контролю Івано-Франківської міської ради</t>
  </si>
  <si>
    <t>Управління з питань державного архітектурно-будівельного контролю Івано-Франківської міської ради</t>
  </si>
  <si>
    <t>Департамент інвестиційної політики, проєктів, міжнародних зв'язків, туризму та промоцій міста Івано-Франківської міської ради</t>
  </si>
  <si>
    <t>Департамент комунальних ресурсів сільського  господарства Івано-Франківської міської ради</t>
  </si>
  <si>
    <t>Департамент комунальних ресурсів та сільського господарства Івано-Франківської міської ради</t>
  </si>
  <si>
    <t>Довгострокова Програма фінансування мобілізаційно-оборонної роботи Івано-Франківської міської ради та підтримки Збройних Сил України, Національної гвардії України, правоохоронних органів, інших, утворених відповідно до законодавства збройних формувань на 2024-2028 роки</t>
  </si>
  <si>
    <t>Проєкт " DAPHNE-Декарбонізація охорони здоров'я в регіонах ЄС" в рамках міжрегіональної співпраці Interreg Europe</t>
  </si>
  <si>
    <t>Проєкт "Підвищення енергоефективності будівель медичних закладів м. Івано-Франківська" (кредитні кошти ЄІБ)</t>
  </si>
  <si>
    <t>в тому числі за рахунок субвенції з обласного бюджету на  придбання будівельних матеріалів  для здійснення ремонтних робіт коридорних приміщень господарським способом в ЗДО № 29 " Кобзарик"  Івано-Франківської міської ради Івано-Франківської області</t>
  </si>
  <si>
    <t>в тому числі за рахунок субвенції з обласного бюджету на  придбання будівельних матеріалів  для проведення ремонтних робіт  господарським способом центрального входу Закладу дошкільної освіти № 35           " Вишиванка "  в м. Івано-Франківську</t>
  </si>
  <si>
    <t xml:space="preserve">в тому числі за рахунок субвенції з обласного бюджету на ремонт укриття ( заміна дверей аварійної сходової клітки ) в Ліцеї № 21 імені Євгена Коновальця   Івано-Франківської міської ради </t>
  </si>
  <si>
    <t>в тому числі за рахунок субвенції з обласного бюджету на поточний ремонт укриття Приватної початкової школи " КАТОЛИЦЬКА ШКОЛА СВЯТОГО ВАСИЛІЯ ВЕЛИКОГО " м. Івано-Франківськ Івано-Франківської області</t>
  </si>
  <si>
    <t>0611154</t>
  </si>
  <si>
    <t>1154</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</si>
  <si>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</si>
  <si>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0611200</t>
  </si>
  <si>
    <t>0611210</t>
  </si>
  <si>
    <t>1200</t>
  </si>
  <si>
    <t>1210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</si>
  <si>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</si>
  <si>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</si>
  <si>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0611221</t>
  </si>
  <si>
    <t>1221</t>
  </si>
  <si>
    <t>0611222</t>
  </si>
  <si>
    <t>1222</t>
  </si>
  <si>
    <t>Співфінансування заходів, що реалізуються за рахунок субвенцій з державного бюджету місцевим бюджетам на створення навчально-практичних центрів сучасної професійної (професійно-технічної) освіти</t>
  </si>
  <si>
    <t>Виконання заходів щодо створення навчально-практичних центрів сучасної професійної (професійно-технічної) освіти за рахунок субвенції з державного бюджету місцевим бюджетам</t>
  </si>
  <si>
    <t>0613140</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</si>
  <si>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</si>
  <si>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</si>
  <si>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</si>
  <si>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Субвенція з обласного бюджету на придбання обладнання для харчоблоку Вовчинецької гімназії Івано-Франківської міської ради</t>
  </si>
  <si>
    <t>Субвенція з обласного бюджету на капітальний ремонт спортивного майданчика Ліцею № 5 Івано-Франківської міської ради</t>
  </si>
  <si>
    <t>Субвенція з обласного бюджету на капітальний ремонт нежитлових приміщень під консультативно-діагностичну поліклініку КНП «Центральна міська клінічна лікарня Івано-Франківської міської ради по вул. Целевича, 11 в м. Івано-Франківську</t>
  </si>
  <si>
    <t>1217310</t>
  </si>
  <si>
    <t>КП "Муніципальна дорожня компанія"</t>
  </si>
  <si>
    <t xml:space="preserve">КП "Міська ритуальна служба" </t>
  </si>
  <si>
    <t xml:space="preserve">КП "Комфортний дім" </t>
  </si>
  <si>
    <t>1511010</t>
  </si>
  <si>
    <t>1511021</t>
  </si>
  <si>
    <t>1517321</t>
  </si>
  <si>
    <t>7321</t>
  </si>
  <si>
    <t>Будівництво освітніх установ та закладів</t>
  </si>
  <si>
    <t>Субвенція з обласного бюджету на реконструкцію водопроводу по вулиці Кобилянської від вулиці Богунська до вулиці Тарнавського у місті Івано-Франківську</t>
  </si>
  <si>
    <t>3117670</t>
  </si>
  <si>
    <t>Надання безповоротної фінансової допомоги АТ «Івано-Франківський локомотиворемонтний завод</t>
  </si>
  <si>
    <t>3719770</t>
  </si>
  <si>
    <t>9770</t>
  </si>
  <si>
    <t>Інші субвенції з місцевого бюджету</t>
  </si>
  <si>
    <t>Субвенція обласному бюджету для співфінансування видатків на закупівлю мультимедійного обладнання для навчальних кабінетів закладів загальної середньої освіти комунальної власності, що здійснюють освітній процес за Державним стандартом базової середньої освіти на першому (адаптаційному) циклі базової середньої освіти за очною, поєднанням очної та дистанційної форми здобуття освіти</t>
  </si>
  <si>
    <t>3719800</t>
  </si>
  <si>
    <t>9800</t>
  </si>
  <si>
    <t xml:space="preserve"> 
Субвенція з місцевого бюджету державному бюджету на виконання програм соціально-економічного розвитку регіонів</t>
  </si>
  <si>
    <t>Субвенція державному бюджету Державній установі «Центр обслуговування підрозділів Національної поліції України» (для управління стратегічних розслідувань в Івано-Франківській області Департаменту стратегічних розслідувань Національної поліції України) на придбання спеціалізованого автотранспорту, на виконання Комплексної програми профілактики злочинності в місті до 2028 року</t>
  </si>
  <si>
    <t>Субвенція державному бюджету для Управління Служби безпеки України в Івано-Франківській області на покращення матеріально-технічного забезпечення на виконання Комплексної програми профілактики злочинності в місті до 2028 року</t>
  </si>
  <si>
    <t>3117691</t>
  </si>
  <si>
    <t>Субвенція з обласного бюджету на придбання матеріалів, будівельних матеріалів для проведення ремонтних робіт господарським способом для релігійної громади храму Святителя Миколая Івано-Франківсько-Галицької Єпархії Української Православної Церкви (Православної Церкви України) міста Івано-Франківська</t>
  </si>
  <si>
    <t>Субвенція з обласного бюджету на придбання матеріалів, будівельних матеріалів для проведення ремонтних робіт господарським способом для Івано-Франківського Архієпархіального Управління Української Греко-Католицької Церкви</t>
  </si>
  <si>
    <t>Субвенція з обласного бюджету на придбання матеріалів, будівельних матеріалів для проведення ремонтних робіт  релігійній громаді Української Греко-Католицьк Церкви "Преображення Господнього" м.Івано-Франківська</t>
  </si>
  <si>
    <t>Субвенція державному бюджету ІФ установи виконання покарань (№12) на  покращення матеріально-технічного забезпечення</t>
  </si>
  <si>
    <t>Субвенція державному бюджету для Регіонального сервісного центру ГСЦ МВС у Львівській, Івано-Франківській та Закарпатській областях (філія ГСЦ МВС)</t>
  </si>
  <si>
    <t>0218761</t>
  </si>
  <si>
    <t>8761</t>
  </si>
  <si>
    <t>0218775</t>
  </si>
  <si>
    <t>8775</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</si>
  <si>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</si>
  <si>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Інші заходи за рахунок коштів резервного фонду місцевого бюджету</t>
  </si>
  <si>
    <t>3110180</t>
  </si>
  <si>
    <t>5049</t>
  </si>
  <si>
    <t>Виконання окремих заходів з реалізації соціального проекту "Активні парки - локації здорової України"</t>
  </si>
  <si>
    <t>в т.ч. 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</si>
  <si>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Міська цільова програма «Партиципаторне бюджетування (бюджет участі)  у Івано-Франківській міській територіальній громаді»</t>
  </si>
  <si>
    <t>0713140</t>
  </si>
  <si>
    <t>Департамент інфраструктури, житлової та комунальної політики Івано-Франківської міської ради</t>
  </si>
  <si>
    <t>Субвенція з обласного бюджету на проведення заходів з енергозбереження (встановлення енергозберігаючих вікон у другому під'їзді на вул. Петлюри, буд. 23 в м. Івано-Франківську)</t>
  </si>
  <si>
    <t>Субвенція з обласного бюджету на проведення заходів з енергозбереження (встановлення енергозберігаючих вікон у третьому під'їзді на вул. Петлюри, буд. 23 в м. Івано-Франківську)</t>
  </si>
  <si>
    <t xml:space="preserve">Субвенція з обласного бюджету на проведення заходів з енергозбереження (встановлення енергозберігаючих вікон у шостому під'їзді на вул. Сорохтея, буд. 32 в м. Івано-Франківську) </t>
  </si>
  <si>
    <t xml:space="preserve">Субвенція з обласного бюджету на проведення заходів з енергозбереження (встановлення енергозберігаючих вікон у третьому під'їзді на вул. Сорохтея, буд. 37а в м. Івано-Франківську) </t>
  </si>
  <si>
    <t>Субвенція з обласного бюджету на проведення заходів з енергозбереження (встановлення енергозберігаючих вікон у четвертому під'їзді на вул. Сорохтея, буд. 37а в м. Івано-Франківську)</t>
  </si>
  <si>
    <t>Субвенція з обласного бюджету на проведення заходів з енергозбереження (встановлення енергозберігаючих вікон в п'ятому під'їзді на вул. Сорохтея, буд. 32 в м. Івано-Франківську)</t>
  </si>
  <si>
    <t>Субвенція з обласного бюджету на проведення заходів з енергозбереження (встановлення енергозберігаючих вікон на вул. Коновальця, буд. 144 б в м. Івано-Франківську)</t>
  </si>
  <si>
    <t>Субвенція з обласного бюджету на проведення заходів з енергозбереження (заміна вікон сходової клітки на вул. Петлюри, буд. 23 (4 під'їзд) в м. Івано-Франківську Івано-Франківської територіальної громади</t>
  </si>
  <si>
    <t>Субвенція з обласного бюджету на благоустрій території по вул. Героїв Миколаєва (масив Рінь) с. Угорники Івано-Франківської територіальної громади</t>
  </si>
  <si>
    <t>0813140</t>
  </si>
  <si>
    <t>0818751</t>
  </si>
  <si>
    <t>8751</t>
  </si>
  <si>
    <t>Допомога населенню, що постраждало внаслідок надзвичайної ситуації або стихійного лиха, за рахунок коштів резервного фонду місцевого бюджету</t>
  </si>
  <si>
    <t>0913140</t>
  </si>
  <si>
    <t>Віктор  СИНИШИН</t>
  </si>
  <si>
    <t>0610</t>
  </si>
  <si>
    <t xml:space="preserve">Субвенція з обласного бюджету на ремонт (реставраційний) даху будинку, пам'ятки архітектури місцевого значення охоронний номер 1785-ІФ, за адресою вул. Василіянок, 11 у м. Івано-Франківську </t>
  </si>
  <si>
    <t>1217340</t>
  </si>
  <si>
    <t>7340</t>
  </si>
  <si>
    <t>Проектування, реставрація та охорона пам'яток архітектури</t>
  </si>
  <si>
    <t xml:space="preserve">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 </t>
  </si>
  <si>
    <t xml:space="preserve">Субвенція державному бюджету для військової частини А4594 на покращення матеріально-технічного забезпечення на виконання Довгострокової Програми фінансування мобілізаційно-оборонної роботи Івано-Франківської міської ради та підтримки Збройних Сил України, Національної гвардії України, правоохоронних органів, інших, утворених відповідно до законодавства збройних формувань на 2024-2028 роки» </t>
  </si>
  <si>
    <t xml:space="preserve">Субвенція обласному бюджету для надання фінансової підтримки Комунального некомерційного підприємства "Івано-Франківський обласний клінічний центр паліативної допомоги Івано-Франківської обласної ради"
</t>
  </si>
  <si>
    <t>Субвенція державному бюджету військовій частині А4667 (для військової частини А4809) на покращення матеріально-технічного забезпечення на виконання Довгострокової Програми фінансування мобілізаційно-оборонної роботи Івано-Франківської міської ради та підтримки Збройних Сил України, Національної гвардії України, правоохоронних органів, інших, утворених відповідно до законодавства збройних формувань на 2024-2028 роки</t>
  </si>
  <si>
    <t>1218741</t>
  </si>
  <si>
    <t>8741</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</si>
  <si>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</si>
  <si>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1218775</t>
  </si>
  <si>
    <t>1516011</t>
  </si>
  <si>
    <t>0618311</t>
  </si>
  <si>
    <t>0618724</t>
  </si>
  <si>
    <t>8724</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</si>
  <si>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</si>
  <si>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0813221</t>
  </si>
  <si>
    <t>3221</t>
  </si>
  <si>
    <t>0813222</t>
  </si>
  <si>
    <t>0813223</t>
  </si>
  <si>
    <t>3222</t>
  </si>
  <si>
    <t>3223</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</si>
  <si>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</si>
  <si>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</si>
  <si>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</si>
  <si>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КП "Івано-Франківськміськсвітло"</t>
  </si>
  <si>
    <t>1418311</t>
  </si>
  <si>
    <t>Співфінансування проектів в рамках програми транскордонного співробітництва Румунія -Україна 2014-2020  "Назад до наших спільних коренів"</t>
  </si>
  <si>
    <t>Субвенція Бурштинській міській територіальній громаді для подолання наслідків ракетних обстрілів та сталого проходження опалювального сезону 2024-2025 р. р. на фінансування заходів "Програма створення резервних та альтернативних джерел теплової енергії в м. Бурштин на 2024-2025 роки"</t>
  </si>
  <si>
    <t>Субвенція державному бюджету для військової частини А4667 на придбання безпілотних літальних апаратів та іншої військової техніки на виконання Довгострокової Програми фінансування мобілізаційно-оборонної роботи Івано-Франківської міської ради та підтримки Збройних Сил України, Національної гвардії України, правоохоронних органів, інших, утворених відповідно до законодавства збройних формувань на 2024-2028 роки</t>
  </si>
  <si>
    <t>Субвенція державному бюджету для подолання наслідків ракетного обстрілу для Івано-Франківського національного технічного університету нафти і газу</t>
  </si>
  <si>
    <t>Субвенція державному бюджету для військової частини А1108 на покращення матеріально-технічного забезпечення на виконання Довгострокової Програми фінансування мобілізаційно-оборонної роботи Івано-Франківської міської ради та підтримки Збройних Сил України, Національної гвардії України, правоохоронних органів, інших, утворених відповідно до законодавства збройних формувань на 2024-2028 роки</t>
  </si>
  <si>
    <t>Субвенція державному бюджету для військової частини А4576 на покращення матеріально-технічного забезпечення на виконання Довгострокової Програми фінансування мобілізаційно-оборонної роботи Івано-Франківської міської ради та підтримки Збройних Сил України, Національної гвардії України, правоохоронних органів, інших, утворених відповідно до законодавства збройних формувань на 2024-2028 роки</t>
  </si>
  <si>
    <t>Субвенція державному бюджету для ГУ ДПС в ІФ обл. на виконання Програми створення розвинутої інформаційної інфраструктури ГУ ДПС в ІФ обл. на 2023-2025 роки</t>
  </si>
  <si>
    <t>Субвенція ДБ в/ч 4955 на покращення матеріально-технічної бази на виконання Довгострокової Програми фінансування мобілізаційно-оборонної роботи Івано-Франківської міської ради та підтримки Збройних Сил України, Національної гвардії України, правоохоронних органів, інших, утворених відповідно до законодавства збройних формувань на 2024-2028 роки</t>
  </si>
  <si>
    <t>Субвенція державному бюджету для військової частини 3057 Національної гвардії України на покращення матеріально-технічного забезпечення (для придбання безпілотних літальних апаратів) на виконання Довгострокової Програми фінансування мобілізаційно-оборонної роботи Івано-Франківської міської ради та підтримки Збройних Сил України, Національної гвардії України, правоохоронних органів, інших, утворених відповідно до законодавства збройних формувань на 2024-2028 роки</t>
  </si>
  <si>
    <t>Програма розвитку професіоналізму і компетентності депутатів місцевих рад та посадових осіб місцевого самоврядування на 2021-2025 роки</t>
  </si>
  <si>
    <t>Субвенція ДБ для головного управління Національної поліції в Івано-Франківській області на покращення матеріально- технічного забезпечення Івано-Франківському РУП ГУНП на виконання Комплексної програми профілдактики злочинності в місті до 2028 року</t>
  </si>
  <si>
    <t>1617330</t>
  </si>
  <si>
    <t>Субвенція державному бюджету для військової частини А0998 на покращення матеріально-технічного забезпечення на виконання Довгострокової Програми фінансування мобілізаційно-оборонної роботи Івано-Франківської міської ради та підтримки Збройних Сил України, Національної гвардії України, правоохоронних органів, інших, утворених відповідно до законодавства збройних формувань на 2024-2028 роки</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</si>
  <si>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</si>
  <si>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0611182</t>
  </si>
  <si>
    <t>1182</t>
  </si>
  <si>
    <t>Субвенція з обласного бюджету на капітальний ремонт молитовної каплиці РО РГ (парафія) Божого Милосердя УГКЦ (колишнє приміщення кисневої станції) КНП Центральна міська клінічна лікарня Івано-Франківської міської ради» по вул. Гетьмана Мазепи, 114 в м. Івано-Франківську (на виконання заходів регіональної цільової програми «Духовне життя» на 2022-2026 роки)</t>
  </si>
  <si>
    <t>Субвенція обласному бюджету на співфінансування видатків на закупівлю засобів навчання та комп’ютерного обладнання для оснащення осередків викладання предмета «Захист України»</t>
  </si>
  <si>
    <t>Субвенція обласному бюджету на співфінансування на закупівлю засобів навчання та обладнання, комп’ютерного та мультимедійного обладнання для навчальних кабінетів природничої галузі освіти (кабінети фізики, хімії, біології, географії, природничих наук) закладів загальної середньої освіти комунальної форми власності, які здійснюють освітній процес відповідно до Державного стандарту базової середньої освіти в другому циклі середньої освіти (базове предметне навчання) за очною, поєднанням очної та дистанційної форми здобуття освіти</t>
  </si>
  <si>
    <t>Субвенція обласному бюджету на співфінансування на закупівлю засобів навчання та обладнання, мультимедійного та комп'ютерного обладнання, меблів для навчальних кабінетів пілотних закладів освіти</t>
  </si>
  <si>
    <t>1217421</t>
  </si>
  <si>
    <t>7421</t>
  </si>
  <si>
    <t>Утримання та розвиток наземного електротранспорту</t>
  </si>
  <si>
    <t>2716012</t>
  </si>
  <si>
    <t>6012</t>
  </si>
  <si>
    <t>Забезпечення діяльності з виробництва, транспортувааня, постачання теплової енергії</t>
  </si>
  <si>
    <t>Субвенція з обласного бюджету на придбання парт, стільців для Ліцею №2 Івано-Франківської міської ради</t>
  </si>
  <si>
    <t>1018723</t>
  </si>
  <si>
    <t>8723</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</si>
  <si>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</si>
  <si>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Субвенція з місцевого бюджету державному бюджету  на виконання програм соціально-економічного розвитку регіонів) на фінансування Комплексної програми створення належних умов для здійснення правосуддя та додаткових гарантій захисту прав, свобод та законних інтересів мешканців Івано-Франківської міської територіальної громади при розгляді судових справ на 2024-2025 роки</t>
  </si>
  <si>
    <t>Субвенція державному бюджету для військової частини А1302 на придбання ударних FPV-дронів  на виконання Довгострокової Програми фінансування мобілізаційно-оборонної роботи Івано-Франківської міської ради та підтримки Збройних Сил України, Національної гвардії України, правоохоронних органів, інших, утворених відповідно до законодавства збройних формувань на 2024-2028 роки</t>
  </si>
  <si>
    <t xml:space="preserve">Дотація з місцевого бюджету для надання фінансової підтримки комунальним підприємствам громади, працівники яких виконували завдання з будівництва інженерно-технічних та фортифікаційних споруд на території Донецької області, для КП "Комфортний дім" </t>
  </si>
  <si>
    <t>Дотація з місцевого бюджету для надання фінансової підтримки комунальним підприємствам громади, працівники яких виконували завдання з будівництва інженерно-технічних та фортифікаційних споруд на території Донецької області, для КП "Муніципальна дорожня компанія"</t>
  </si>
  <si>
    <t>Дотація з місцевого бюджету для надання фінансової підтримки комунальним підприємствам громади, працівники яких виконували завдання з будівництва інженерно-технічних та фортифікаційних споруд на території Донецької області, для КП "Благоустрій"</t>
  </si>
  <si>
    <t>Дотація з місцевого бюджету для надання фінансової підтримки комунальним підприємствам громади, працівники яких виконували завдання з будівництва інженерно-технічних та фортифікаційних споруд на території Донецької області, для КП "Міська ритуальна служба"</t>
  </si>
  <si>
    <t>Дотація з місцевого бюджету для надання фінансової підтримки комунальним підприємствам громади, працівники яких виконували завдання з будівництва інженерно-технічних та фортифікаційних споруд на території Донецької області, для КП "Електроавтотранс"</t>
  </si>
  <si>
    <t>Дотація з місцевого бюджету для надання фінансової підтримки комунальним підприємствам громади, працівники яких виконували завдання з будівництва інженерно-технічних та фортифікаційних споруд на території Донецької області, для КП "Івано-Франківськводоекотехпром"</t>
  </si>
  <si>
    <t>Дотація з місцевого бюджету для надання фінансової підтримки комунальним підприємствам громади, працівники яких виконували завдання з будівництва інженерно-технічних та фортифікаційних споруд на території Донецької області, для КП "Полігон ТПВ"</t>
  </si>
  <si>
    <t>Дотація з місцевого бюджету для надання фінансової підтримки комунальним підприємствам громади, працівники яких виконували завдання з будівництва інженерно-технічних та фортифікаційних споруд на території Донецької області, для ДМП "Івано-Франківськтеплокомуненерго"</t>
  </si>
  <si>
    <t>в т.ч. дотація з ДБ на оплату комунальних послуг ВПО</t>
  </si>
  <si>
    <t>Субвенція державному бюджету для регіонального сервісного центру ГСЦ МВС у Львівській, Івано-Франківській та Закарпатській областях (філія ГСЦ МВС) для територіального сервісного центру №2641 (на правах відділу, м. Івано-Франківськ) для придбання пристроїв для друку багатофункціональних (принтерів) на виконання Комплексної програми профілактики злочинності в місті до 2028 року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</si>
  <si>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</si>
  <si>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</si>
  <si>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</si>
  <si>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0916083</t>
  </si>
  <si>
    <t>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</si>
  <si>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</si>
  <si>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0611061</t>
  </si>
  <si>
    <t>1061</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</si>
  <si>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 а також коштів, необхідних для забезпечення безпечного навчального процесу у закладах загальної середньої освіти)</t>
  </si>
  <si>
    <t>2718775</t>
  </si>
  <si>
    <t>Субвенція державному бюджету для управління патрульної поліції в Івано-Франківській області Департаменту патрульної поліції на покращення матеріально-технічного забезпечення на виконання Комплексної програми профілактики злочинності в місті до 2028 року</t>
  </si>
  <si>
    <t>Субвенція державному бюджету для Івано-Франківського районного відділу  Державної установи «Івано-Франківський обласний центр контролю та профілактики хвороб Міністерства охорони здоров’я України» м. Івано-Франківськ, вул. Миколи Арсенича-Березовського,6 на будівництво котельні, на виконання Програми поетапного відключення (відокремлення) споживачів теплової енергії, що постачаються котельнею на вул. Індустріальній, 34, від системи централізованого опалення та переведення їх на альтернативні джерела теплопостачання</t>
  </si>
  <si>
    <t>Субвенція державному бюджету Головному управлінню Національної поліції в Івано-Франківській області на виконання Комплексної програми профілактики злочинності в місті до 2028 року</t>
  </si>
  <si>
    <t>Фінансова підтримка засобів масової інформації</t>
  </si>
  <si>
    <t>Інші заходи у сфері  засобів масової інформації</t>
  </si>
  <si>
    <t>0813193</t>
  </si>
  <si>
    <t>3193</t>
  </si>
  <si>
    <t>Забезпечення інституту помічника ветерана в системі переходу від військової служби до цивільного життя ("КЗ Дім воїна")</t>
  </si>
  <si>
    <r>
      <rPr>
        <i/>
        <sz val="9"/>
        <color theme="1"/>
        <rFont val="Times New Roman"/>
        <family val="1"/>
        <charset val="204"/>
      </rPr>
      <t xml:space="preserve">у тому числі   </t>
    </r>
    <r>
      <rPr>
        <sz val="9"/>
        <color theme="1"/>
        <rFont val="Times New Roman"/>
        <family val="1"/>
        <charset val="204"/>
      </rPr>
      <t>Програма розвитку туристичної галузі Івано-Франківської міської територіальної громади на 2021-2025 роки</t>
    </r>
  </si>
  <si>
    <t>Програма забезпечення виконання рішень суду щодо безспірного списання коштів з розпорядника бюджетних коштів Виконавчого комітету Івано-Франківської міської ради на 2022-2025 роки</t>
  </si>
  <si>
    <t xml:space="preserve">                                                                                до  рішення ___________________міської ради</t>
  </si>
  <si>
    <t>Субвенція з обласного бюджету на придбання будівельних матеріалів на проведення ремонту храму Святого Архистратига Михаїла Української Грекокатолицької церкви за адресою: вул.Вовчинецька, 32 с. Вровчинець Івано-Франківської міської територіальної громади</t>
  </si>
  <si>
    <t xml:space="preserve">Субвенція з обласного бюджету на придбання будівельних матеріалів для релігійної громади Святого великомученика Юрія УГКЦ с.Угорники </t>
  </si>
  <si>
    <t>Субвенція з обласного бюджету на придбання будівельних матеріалів для ремонту будівлі релігійної організації "Івано-Франківський богословський інститут"  м.Івано-Франківська вул.Грюнвальська, 3</t>
  </si>
  <si>
    <t xml:space="preserve">Ремонтні роботи храму УГКЦ церква Святого Архистратига Михаїла в с.Вовчинець </t>
  </si>
  <si>
    <t>Субвенція з обласного бюджету на придбання будівельних матеріалів з метою проведення ремонтних робіт в приміщеннях культових споруд, які використовуються як укриття під час повітряних тривог для Івано-Франківського Архієпархіального управління Української Греко-Католицької Церкви</t>
  </si>
  <si>
    <t>Субвенція з обласного бюджету на придбання будівельних матеріалів для ремонту храму "Всіх Святих землі Української Прославлених",  Івано-Франківської єпархії Православної Церкви України</t>
  </si>
  <si>
    <t>Субвенція з обласного бюджету на придбання будівельних матеріалів для ремонту храму релігійної громади  "Різдва Христового", м.Івано-Франківська, вул.Довженка, 2</t>
  </si>
  <si>
    <t>Субвенція з обласного бюджету на придбання матеріалів, будівельних матеріалів для проведення ремонтних робіт господарським способом релігійній громаді Української Православної Церкви "Різдва Христового" міста Івано-Франківська</t>
  </si>
  <si>
    <t>Субвенція з обласного бюджету на придбання матеріалів, будівельних матеріалів для ремонту храму "Різдва Христового" Івано-Франківської єпархії Православної церкви України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</si>
</sst>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_-* #,##0.00\ _₽_-;\-* #,##0.00\ _₽_-;_-* &quot;-&quot;??\ _₽_-;_-@_-"/>
    <numFmt numFmtId="166" formatCode="0000000"/>
    <numFmt numFmtId="167" formatCode="General_)"/>
    <numFmt numFmtId="168" formatCode="0.0"/>
    <numFmt numFmtId="169" formatCode="0_ ;[Red]\-0\ "/>
  </numFmts>
  <fonts count="22" x14ac:knownFonts="1">
    <font>
      <sz val="8"/>
      <name val="Arial"/>
    </font>
    <font>
      <sz val="8"/>
      <name val="Arial"/>
      <family val="2"/>
    </font>
    <font>
      <sz val="12"/>
      <name val="Courier"/>
      <family val="1"/>
      <charset val="204"/>
    </font>
    <font>
      <sz val="10"/>
      <name val="Times New Roman"/>
      <family val="1"/>
      <charset val="204"/>
    </font>
    <font>
      <sz val="10"/>
      <name val="Helv"/>
      <charset val="204"/>
    </font>
    <font>
      <sz val="8"/>
      <name val="Arial"/>
      <family val="2"/>
      <charset val="204"/>
    </font>
    <font>
      <sz val="10"/>
      <name val="Arial Cyr"/>
      <charset val="204"/>
    </font>
    <font>
      <sz val="9"/>
      <color theme="1"/>
      <name val="Times New Roman"/>
      <family val="1"/>
      <charset val="204"/>
    </font>
    <font>
      <sz val="8"/>
      <name val="Arial"/>
      <family val="2"/>
      <charset val="204"/>
    </font>
    <font>
      <sz val="8"/>
      <color theme="1"/>
      <name val="Times New Roman"/>
      <family val="1"/>
      <charset val="204"/>
    </font>
    <font>
      <b/>
      <sz val="14"/>
      <color theme="1"/>
      <name val="Times New Roman"/>
      <family val="1"/>
      <charset val="204"/>
    </font>
    <font>
      <b/>
      <u/>
      <sz val="9"/>
      <color theme="1"/>
      <name val="Times New Roman"/>
      <family val="1"/>
      <charset val="204"/>
    </font>
    <font>
      <b/>
      <sz val="9"/>
      <color theme="1"/>
      <name val="Times New Roman"/>
      <family val="1"/>
      <charset val="204"/>
    </font>
    <font>
      <sz val="16"/>
      <color theme="1"/>
      <name val="Times New Roman"/>
      <family val="1"/>
      <charset val="204"/>
    </font>
    <font>
      <b/>
      <sz val="7"/>
      <color theme="1"/>
      <name val="Times New Roman"/>
      <family val="1"/>
      <charset val="204"/>
    </font>
    <font>
      <b/>
      <sz val="8"/>
      <color theme="1"/>
      <name val="Times New Roman"/>
      <family val="1"/>
      <charset val="204"/>
    </font>
    <font>
      <b/>
      <sz val="10"/>
      <color theme="1"/>
      <name val="Times New Roman"/>
      <family val="1"/>
      <charset val="204"/>
    </font>
    <font>
      <i/>
      <sz val="9"/>
      <color theme="1"/>
      <name val="Times New Roman"/>
      <family val="1"/>
      <charset val="204"/>
    </font>
    <font>
      <sz val="10"/>
      <color theme="1"/>
      <name val="Times New Roman"/>
      <family val="1"/>
      <charset val="204"/>
    </font>
    <font>
      <sz val="12"/>
      <color theme="1"/>
      <name val="Times New Roman"/>
      <family val="1"/>
      <charset val="204"/>
    </font>
    <font>
      <sz val="11"/>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rgb="FFE6E6E6"/>
      </left>
      <right style="thin">
        <color rgb="FFE6E6E6"/>
      </right>
      <top style="thin">
        <color rgb="FFE6E6E6"/>
      </top>
      <bottom style="thin">
        <color rgb="FFE6E6E6"/>
      </bottom>
      <diagonal/>
    </border>
  </borders>
  <cellStyleXfs count="15">
    <xf numFmtId="0" fontId="0" fillId="0" borderId="0"/>
    <xf numFmtId="0" fontId="3" fillId="0" borderId="0"/>
    <xf numFmtId="167" fontId="2" fillId="0" borderId="0"/>
    <xf numFmtId="0" fontId="1" fillId="0" borderId="0"/>
    <xf numFmtId="0" fontId="4" fillId="0" borderId="0"/>
    <xf numFmtId="0" fontId="6" fillId="0" borderId="0"/>
    <xf numFmtId="0" fontId="5" fillId="0" borderId="0"/>
    <xf numFmtId="164" fontId="5" fillId="0" borderId="0" applyFont="0" applyFill="0" applyBorder="0" applyAlignment="0" applyProtection="0"/>
    <xf numFmtId="0" fontId="5" fillId="0" borderId="0"/>
    <xf numFmtId="165" fontId="5" fillId="0" borderId="0" applyFont="0" applyFill="0" applyBorder="0" applyAlignment="0" applyProtection="0"/>
    <xf numFmtId="0" fontId="3" fillId="0" borderId="0"/>
    <xf numFmtId="0" fontId="3" fillId="0" borderId="0"/>
    <xf numFmtId="164" fontId="5" fillId="0" borderId="0" applyFont="0" applyFill="0" applyBorder="0" applyAlignment="0" applyProtection="0"/>
    <xf numFmtId="164" fontId="5" fillId="0" borderId="0" applyFont="0" applyFill="0" applyBorder="0" applyAlignment="0" applyProtection="0"/>
    <xf numFmtId="164" fontId="8" fillId="0" borderId="0" applyFont="0" applyFill="0" applyBorder="0" applyAlignment="0" applyProtection="0"/>
  </cellStyleXfs>
  <cellXfs count="147">
    <xf numFmtId="0" fontId="0" fillId="0" borderId="0" xfId="0"/>
    <xf numFmtId="0" fontId="7" fillId="2" borderId="1" xfId="0" applyFont="1" applyFill="1" applyBorder="1" applyAlignment="1">
      <alignment horizontal="left" vertical="top" wrapText="1"/>
    </xf>
    <xf numFmtId="0" fontId="7" fillId="2" borderId="1" xfId="0" applyFont="1" applyFill="1" applyBorder="1" applyAlignment="1">
      <alignment horizontal="left" vertical="center" wrapText="1"/>
    </xf>
    <xf numFmtId="0" fontId="9" fillId="2" borderId="0" xfId="0" applyFont="1" applyFill="1" applyAlignment="1">
      <alignment horizontal="center" vertical="center"/>
    </xf>
    <xf numFmtId="3" fontId="9" fillId="2" borderId="0" xfId="0" applyNumberFormat="1" applyFont="1" applyFill="1" applyAlignment="1">
      <alignment horizontal="center" vertical="center"/>
    </xf>
    <xf numFmtId="3" fontId="9" fillId="2" borderId="0" xfId="0" applyNumberFormat="1" applyFont="1" applyFill="1" applyAlignment="1">
      <alignment horizontal="center" vertical="center" wrapText="1"/>
    </xf>
    <xf numFmtId="0" fontId="9" fillId="2" borderId="0" xfId="0" applyFont="1" applyFill="1" applyAlignment="1">
      <alignment horizontal="left"/>
    </xf>
    <xf numFmtId="49" fontId="9" fillId="2" borderId="0" xfId="0" applyNumberFormat="1" applyFont="1" applyFill="1" applyAlignment="1">
      <alignment horizontal="center" vertical="center"/>
    </xf>
    <xf numFmtId="3" fontId="9" fillId="2" borderId="0" xfId="0" applyNumberFormat="1" applyFont="1" applyFill="1" applyAlignment="1">
      <alignment horizontal="left"/>
    </xf>
    <xf numFmtId="3" fontId="13" fillId="2" borderId="0" xfId="0" applyNumberFormat="1" applyFont="1" applyFill="1" applyAlignment="1">
      <alignment horizontal="left"/>
    </xf>
    <xf numFmtId="166" fontId="16" fillId="2" borderId="4" xfId="0" applyNumberFormat="1" applyFont="1" applyFill="1" applyBorder="1" applyAlignment="1">
      <alignment horizontal="center" vertical="center"/>
    </xf>
    <xf numFmtId="49" fontId="16" fillId="2" borderId="5" xfId="0" applyNumberFormat="1" applyFont="1" applyFill="1" applyBorder="1" applyAlignment="1">
      <alignment horizontal="center" vertical="center" wrapText="1"/>
    </xf>
    <xf numFmtId="0" fontId="16" fillId="2" borderId="5" xfId="0" applyFont="1" applyFill="1" applyBorder="1" applyAlignment="1">
      <alignment horizontal="center" vertical="center" wrapText="1"/>
    </xf>
    <xf numFmtId="3" fontId="12" fillId="2" borderId="5" xfId="0" applyNumberFormat="1" applyFont="1" applyFill="1" applyBorder="1" applyAlignment="1">
      <alignment horizontal="center" vertical="center"/>
    </xf>
    <xf numFmtId="3" fontId="12" fillId="2" borderId="8"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3" fontId="16" fillId="2" borderId="0" xfId="0" applyNumberFormat="1" applyFont="1" applyFill="1" applyAlignment="1">
      <alignment horizontal="left"/>
    </xf>
    <xf numFmtId="0" fontId="16" fillId="2" borderId="0" xfId="0" applyFont="1" applyFill="1" applyAlignment="1">
      <alignment horizontal="left"/>
    </xf>
    <xf numFmtId="166" fontId="16" fillId="2" borderId="3" xfId="0" applyNumberFormat="1" applyFont="1" applyFill="1" applyBorder="1" applyAlignment="1">
      <alignment horizontal="center" vertical="center"/>
    </xf>
    <xf numFmtId="49" fontId="16" fillId="2" borderId="1"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xf>
    <xf numFmtId="3" fontId="12" fillId="2" borderId="2" xfId="0" applyNumberFormat="1" applyFont="1" applyFill="1" applyBorder="1" applyAlignment="1">
      <alignment horizontal="center" vertical="center"/>
    </xf>
    <xf numFmtId="3" fontId="7" fillId="2" borderId="1" xfId="0" applyNumberFormat="1" applyFont="1" applyFill="1" applyBorder="1" applyAlignment="1">
      <alignment horizontal="center" vertical="center"/>
    </xf>
    <xf numFmtId="3" fontId="12" fillId="2" borderId="25" xfId="0" applyNumberFormat="1" applyFont="1" applyFill="1" applyBorder="1" applyAlignment="1">
      <alignment horizontal="center" vertical="center"/>
    </xf>
    <xf numFmtId="3" fontId="7" fillId="2" borderId="2" xfId="0" applyNumberFormat="1" applyFont="1" applyFill="1" applyBorder="1" applyAlignment="1">
      <alignment horizontal="center" vertical="center"/>
    </xf>
    <xf numFmtId="3" fontId="7" fillId="2" borderId="25" xfId="0" applyNumberFormat="1" applyFont="1" applyFill="1" applyBorder="1" applyAlignment="1">
      <alignment horizontal="center" vertical="center"/>
    </xf>
    <xf numFmtId="0" fontId="7" fillId="2" borderId="0" xfId="0" applyFont="1" applyFill="1" applyAlignment="1">
      <alignment horizontal="left"/>
    </xf>
    <xf numFmtId="49" fontId="7" fillId="2" borderId="1" xfId="0" applyNumberFormat="1" applyFont="1" applyFill="1" applyBorder="1" applyAlignment="1">
      <alignment horizontal="left" vertical="center" wrapText="1"/>
    </xf>
    <xf numFmtId="168" fontId="7" fillId="2" borderId="1" xfId="4" applyNumberFormat="1" applyFont="1" applyFill="1" applyBorder="1" applyAlignment="1">
      <alignment horizontal="left" vertical="center" wrapText="1"/>
    </xf>
    <xf numFmtId="49" fontId="7" fillId="2" borderId="1" xfId="0" applyNumberFormat="1" applyFont="1" applyFill="1" applyBorder="1" applyAlignment="1">
      <alignment horizontal="center" vertical="center"/>
    </xf>
    <xf numFmtId="49" fontId="7" fillId="2" borderId="1" xfId="8" applyNumberFormat="1" applyFont="1" applyFill="1" applyBorder="1" applyAlignment="1">
      <alignment horizontal="left" vertical="center" wrapText="1"/>
    </xf>
    <xf numFmtId="3" fontId="7" fillId="2" borderId="1" xfId="14" applyNumberFormat="1" applyFont="1" applyFill="1" applyBorder="1" applyAlignment="1">
      <alignment horizontal="center" vertical="center"/>
    </xf>
    <xf numFmtId="49" fontId="16" fillId="2" borderId="3" xfId="0" applyNumberFormat="1" applyFont="1" applyFill="1" applyBorder="1" applyAlignment="1">
      <alignment horizontal="center" vertical="center"/>
    </xf>
    <xf numFmtId="167" fontId="7" fillId="2" borderId="0" xfId="0" applyNumberFormat="1" applyFont="1" applyFill="1" applyAlignment="1">
      <alignment horizontal="left"/>
    </xf>
    <xf numFmtId="0" fontId="17" fillId="2" borderId="1" xfId="0" applyFont="1" applyFill="1" applyBorder="1" applyAlignment="1">
      <alignment horizontal="left" vertical="center" wrapText="1"/>
    </xf>
    <xf numFmtId="169" fontId="7" fillId="2" borderId="0" xfId="0" applyNumberFormat="1" applyFont="1" applyFill="1" applyAlignment="1">
      <alignment horizontal="left"/>
    </xf>
    <xf numFmtId="1" fontId="7" fillId="2" borderId="0" xfId="0" applyNumberFormat="1" applyFont="1" applyFill="1" applyAlignment="1">
      <alignment horizontal="left"/>
    </xf>
    <xf numFmtId="167" fontId="7" fillId="2" borderId="1" xfId="2" applyFont="1" applyFill="1" applyBorder="1" applyAlignment="1">
      <alignment horizontal="left" vertical="center" wrapText="1"/>
    </xf>
    <xf numFmtId="3" fontId="7" fillId="2" borderId="0" xfId="0" applyNumberFormat="1" applyFont="1" applyFill="1" applyAlignment="1">
      <alignment horizontal="left"/>
    </xf>
    <xf numFmtId="0" fontId="7" fillId="2" borderId="1" xfId="0" applyFont="1" applyFill="1" applyBorder="1" applyAlignment="1">
      <alignment vertical="center" wrapText="1"/>
    </xf>
    <xf numFmtId="3" fontId="16" fillId="2" borderId="1" xfId="0" applyNumberFormat="1" applyFont="1" applyFill="1" applyBorder="1" applyAlignment="1">
      <alignment horizontal="center" vertical="center"/>
    </xf>
    <xf numFmtId="3" fontId="16" fillId="2" borderId="2" xfId="0" applyNumberFormat="1" applyFont="1" applyFill="1" applyBorder="1" applyAlignment="1">
      <alignment horizontal="center" vertical="center"/>
    </xf>
    <xf numFmtId="164" fontId="16" fillId="2" borderId="0" xfId="14" applyFont="1" applyFill="1" applyAlignment="1">
      <alignment horizontal="left"/>
    </xf>
    <xf numFmtId="3" fontId="18" fillId="2" borderId="2" xfId="0" applyNumberFormat="1" applyFont="1" applyFill="1" applyBorder="1" applyAlignment="1">
      <alignment horizontal="center" vertical="center"/>
    </xf>
    <xf numFmtId="164" fontId="7" fillId="2" borderId="0" xfId="14" applyFont="1" applyFill="1" applyAlignment="1">
      <alignment horizontal="left"/>
    </xf>
    <xf numFmtId="164" fontId="7" fillId="2" borderId="0" xfId="0" applyNumberFormat="1" applyFont="1" applyFill="1" applyAlignment="1">
      <alignment horizontal="left"/>
    </xf>
    <xf numFmtId="49" fontId="7" fillId="2" borderId="3" xfId="8" applyNumberFormat="1" applyFont="1" applyFill="1" applyBorder="1" applyAlignment="1">
      <alignment horizontal="center" vertical="center"/>
    </xf>
    <xf numFmtId="49" fontId="7" fillId="2" borderId="1" xfId="8" applyNumberFormat="1" applyFont="1" applyFill="1" applyBorder="1" applyAlignment="1">
      <alignment horizontal="center" vertical="center" wrapText="1"/>
    </xf>
    <xf numFmtId="0" fontId="7" fillId="2" borderId="1" xfId="8" applyFont="1" applyFill="1" applyBorder="1" applyAlignment="1">
      <alignment horizontal="left" vertical="center" wrapText="1"/>
    </xf>
    <xf numFmtId="1" fontId="7" fillId="2" borderId="3" xfId="0" applyNumberFormat="1" applyFont="1" applyFill="1" applyBorder="1" applyAlignment="1">
      <alignment horizontal="center" vertical="center"/>
    </xf>
    <xf numFmtId="1" fontId="16" fillId="2" borderId="3" xfId="0" applyNumberFormat="1" applyFont="1" applyFill="1" applyBorder="1" applyAlignment="1">
      <alignment horizontal="center" vertical="center"/>
    </xf>
    <xf numFmtId="0" fontId="7" fillId="2" borderId="1" xfId="3" applyFont="1" applyFill="1" applyBorder="1" applyAlignment="1">
      <alignment horizontal="left" vertical="center" wrapText="1"/>
    </xf>
    <xf numFmtId="49" fontId="7" fillId="2" borderId="3" xfId="0" applyNumberFormat="1" applyFont="1" applyFill="1" applyBorder="1" applyAlignment="1">
      <alignment horizontal="center" vertical="center" wrapText="1"/>
    </xf>
    <xf numFmtId="164" fontId="16" fillId="2" borderId="0" xfId="0" applyNumberFormat="1" applyFont="1" applyFill="1" applyAlignment="1">
      <alignment horizontal="left"/>
    </xf>
    <xf numFmtId="49" fontId="7" fillId="2" borderId="1" xfId="0" applyNumberFormat="1" applyFont="1" applyFill="1" applyBorder="1" applyAlignment="1">
      <alignment vertical="center" wrapText="1"/>
    </xf>
    <xf numFmtId="49" fontId="18" fillId="2" borderId="1" xfId="0" applyNumberFormat="1" applyFont="1" applyFill="1" applyBorder="1" applyAlignment="1">
      <alignment horizontal="center" vertical="center" wrapText="1"/>
    </xf>
    <xf numFmtId="3" fontId="18" fillId="2" borderId="0" xfId="0" applyNumberFormat="1" applyFont="1" applyFill="1" applyAlignment="1">
      <alignment horizontal="left"/>
    </xf>
    <xf numFmtId="0" fontId="18" fillId="2" borderId="0" xfId="0" applyFont="1" applyFill="1" applyAlignment="1">
      <alignment horizontal="left"/>
    </xf>
    <xf numFmtId="0" fontId="7" fillId="2" borderId="1" xfId="0" applyFont="1" applyFill="1" applyBorder="1" applyAlignment="1">
      <alignment horizontal="right" vertical="center" wrapText="1"/>
    </xf>
    <xf numFmtId="49" fontId="7" fillId="2" borderId="12" xfId="0" applyNumberFormat="1" applyFont="1" applyFill="1" applyBorder="1" applyAlignment="1">
      <alignment horizontal="center" vertical="center"/>
    </xf>
    <xf numFmtId="49" fontId="7" fillId="2" borderId="13" xfId="0" applyNumberFormat="1" applyFont="1" applyFill="1" applyBorder="1" applyAlignment="1">
      <alignment horizontal="center" vertical="center" wrapText="1"/>
    </xf>
    <xf numFmtId="49" fontId="7" fillId="2" borderId="16" xfId="0" applyNumberFormat="1" applyFont="1" applyFill="1" applyBorder="1" applyAlignment="1">
      <alignment horizontal="center" vertical="center" wrapText="1"/>
    </xf>
    <xf numFmtId="0" fontId="7" fillId="2" borderId="13" xfId="0" applyFont="1" applyFill="1" applyBorder="1" applyAlignment="1">
      <alignment horizontal="left" vertical="center" wrapText="1"/>
    </xf>
    <xf numFmtId="3" fontId="7" fillId="2" borderId="13" xfId="0" applyNumberFormat="1" applyFont="1" applyFill="1" applyBorder="1" applyAlignment="1">
      <alignment horizontal="center" vertical="center"/>
    </xf>
    <xf numFmtId="3" fontId="7" fillId="2" borderId="16" xfId="0" applyNumberFormat="1" applyFont="1" applyFill="1" applyBorder="1" applyAlignment="1">
      <alignment horizontal="center" vertical="center"/>
    </xf>
    <xf numFmtId="0" fontId="15" fillId="2" borderId="10" xfId="0" applyFont="1" applyFill="1" applyBorder="1" applyAlignment="1">
      <alignment horizontal="center" vertical="center"/>
    </xf>
    <xf numFmtId="3" fontId="16" fillId="2" borderId="22" xfId="0" applyNumberFormat="1" applyFont="1" applyFill="1" applyBorder="1" applyAlignment="1">
      <alignment horizontal="center" vertical="center"/>
    </xf>
    <xf numFmtId="3" fontId="16" fillId="2" borderId="11" xfId="0" applyNumberFormat="1" applyFont="1" applyFill="1" applyBorder="1" applyAlignment="1">
      <alignment horizontal="center" vertical="center"/>
    </xf>
    <xf numFmtId="3" fontId="16" fillId="2" borderId="24" xfId="0" applyNumberFormat="1" applyFont="1" applyFill="1" applyBorder="1" applyAlignment="1">
      <alignment horizontal="center" vertical="center"/>
    </xf>
    <xf numFmtId="3" fontId="16" fillId="2" borderId="23" xfId="0" applyNumberFormat="1" applyFont="1" applyFill="1" applyBorder="1" applyAlignment="1">
      <alignment horizontal="center" vertical="center"/>
    </xf>
    <xf numFmtId="0" fontId="15" fillId="2" borderId="0" xfId="0" applyFont="1" applyFill="1" applyAlignment="1">
      <alignment horizontal="left"/>
    </xf>
    <xf numFmtId="3" fontId="7" fillId="2" borderId="0" xfId="0" applyNumberFormat="1" applyFont="1" applyFill="1" applyAlignment="1">
      <alignment horizontal="left" vertical="top" wrapText="1"/>
    </xf>
    <xf numFmtId="3" fontId="19" fillId="2" borderId="0" xfId="0" applyNumberFormat="1" applyFont="1" applyFill="1" applyAlignment="1">
      <alignment vertical="top" wrapText="1"/>
    </xf>
    <xf numFmtId="3" fontId="19" fillId="2" borderId="0" xfId="0" applyNumberFormat="1" applyFont="1" applyFill="1" applyAlignment="1">
      <alignment horizontal="center" vertical="center" wrapText="1"/>
    </xf>
    <xf numFmtId="0" fontId="20" fillId="2" borderId="0" xfId="0" applyFont="1" applyFill="1"/>
    <xf numFmtId="3" fontId="20" fillId="2" borderId="0" xfId="0" applyNumberFormat="1" applyFont="1" applyFill="1" applyAlignment="1">
      <alignment horizontal="left" vertical="top"/>
    </xf>
    <xf numFmtId="0" fontId="20" fillId="2" borderId="0" xfId="0" applyFont="1" applyFill="1" applyAlignment="1">
      <alignment horizontal="center" vertical="center"/>
    </xf>
    <xf numFmtId="49" fontId="20" fillId="2" borderId="0" xfId="0" applyNumberFormat="1" applyFont="1" applyFill="1" applyAlignment="1">
      <alignment horizontal="center" vertical="center"/>
    </xf>
    <xf numFmtId="0" fontId="20" fillId="2" borderId="0" xfId="0" applyFont="1" applyFill="1" applyAlignment="1">
      <alignment horizontal="left" vertical="top"/>
    </xf>
    <xf numFmtId="3" fontId="21" fillId="2" borderId="0" xfId="0" applyNumberFormat="1" applyFont="1" applyFill="1" applyAlignment="1">
      <alignment horizontal="left" vertical="top" wrapText="1"/>
    </xf>
    <xf numFmtId="3" fontId="20" fillId="2" borderId="0" xfId="0" applyNumberFormat="1" applyFont="1" applyFill="1" applyAlignment="1">
      <alignment horizontal="center" vertical="center"/>
    </xf>
    <xf numFmtId="0" fontId="18" fillId="2" borderId="0" xfId="0" applyFont="1" applyFill="1" applyAlignment="1">
      <alignment horizontal="center" vertical="center"/>
    </xf>
    <xf numFmtId="49" fontId="18" fillId="2" borderId="0" xfId="0" applyNumberFormat="1" applyFont="1" applyFill="1" applyAlignment="1">
      <alignment horizontal="center" vertical="center"/>
    </xf>
    <xf numFmtId="49" fontId="18" fillId="2" borderId="0" xfId="0" applyNumberFormat="1" applyFont="1" applyFill="1" applyAlignment="1">
      <alignment horizontal="right" vertical="top"/>
    </xf>
    <xf numFmtId="3" fontId="16" fillId="2" borderId="0" xfId="0" applyNumberFormat="1" applyFont="1" applyFill="1" applyAlignment="1">
      <alignment horizontal="left" vertical="top"/>
    </xf>
    <xf numFmtId="3" fontId="18" fillId="2" borderId="0" xfId="0" applyNumberFormat="1" applyFont="1" applyFill="1" applyAlignment="1">
      <alignment horizontal="center" vertical="center"/>
    </xf>
    <xf numFmtId="0" fontId="18" fillId="2" borderId="0" xfId="0" applyFont="1" applyFill="1"/>
    <xf numFmtId="0" fontId="18" fillId="2" borderId="0" xfId="0" applyFont="1" applyFill="1" applyAlignment="1">
      <alignment horizontal="right" vertical="top"/>
    </xf>
    <xf numFmtId="3" fontId="18" fillId="2" borderId="0" xfId="0" applyNumberFormat="1" applyFont="1" applyFill="1" applyAlignment="1">
      <alignment horizontal="left" vertical="top"/>
    </xf>
    <xf numFmtId="0" fontId="18" fillId="2" borderId="0" xfId="0" applyFont="1" applyFill="1" applyAlignment="1">
      <alignment horizontal="left" vertical="top"/>
    </xf>
    <xf numFmtId="0" fontId="9" fillId="2" borderId="0" xfId="0" applyFont="1" applyFill="1" applyAlignment="1">
      <alignment horizontal="left" vertical="top"/>
    </xf>
    <xf numFmtId="3" fontId="9" fillId="2" borderId="0" xfId="0" applyNumberFormat="1" applyFont="1" applyFill="1" applyAlignment="1">
      <alignment horizontal="left" vertical="top"/>
    </xf>
    <xf numFmtId="0" fontId="9" fillId="2" borderId="0" xfId="0" applyFont="1" applyFill="1"/>
    <xf numFmtId="3" fontId="9" fillId="2" borderId="0" xfId="14" applyNumberFormat="1" applyFont="1" applyFill="1" applyAlignment="1">
      <alignment horizontal="left" vertical="top"/>
    </xf>
    <xf numFmtId="0" fontId="10" fillId="2" borderId="0" xfId="0" applyFont="1" applyFill="1" applyAlignment="1">
      <alignment vertical="center" wrapText="1"/>
    </xf>
    <xf numFmtId="49" fontId="7" fillId="2" borderId="3"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wrapText="1"/>
    </xf>
    <xf numFmtId="0" fontId="7" fillId="2" borderId="27" xfId="0" applyFont="1" applyFill="1" applyBorder="1" applyAlignment="1">
      <alignment vertical="center" wrapText="1"/>
    </xf>
    <xf numFmtId="49" fontId="7" fillId="2" borderId="1" xfId="1" applyNumberFormat="1" applyFont="1" applyFill="1" applyBorder="1" applyAlignment="1">
      <alignment horizontal="center" vertical="center" wrapText="1"/>
    </xf>
    <xf numFmtId="0" fontId="7" fillId="2" borderId="1" xfId="1" applyFont="1" applyFill="1" applyBorder="1" applyAlignment="1">
      <alignment horizontal="justify" vertical="top" wrapText="1"/>
    </xf>
    <xf numFmtId="3" fontId="20" fillId="2" borderId="0" xfId="0" applyNumberFormat="1" applyFont="1" applyFill="1"/>
    <xf numFmtId="3" fontId="12" fillId="2" borderId="4" xfId="0" applyNumberFormat="1" applyFont="1" applyFill="1" applyBorder="1" applyAlignment="1">
      <alignment horizontal="center" vertical="center"/>
    </xf>
    <xf numFmtId="3" fontId="7" fillId="2" borderId="3" xfId="0" applyNumberFormat="1" applyFont="1" applyFill="1" applyBorder="1" applyAlignment="1">
      <alignment horizontal="center" vertical="center"/>
    </xf>
    <xf numFmtId="3" fontId="12" fillId="2" borderId="3" xfId="0" applyNumberFormat="1" applyFont="1" applyFill="1" applyBorder="1" applyAlignment="1">
      <alignment horizontal="center" vertical="center"/>
    </xf>
    <xf numFmtId="3" fontId="18" fillId="2" borderId="1" xfId="0" applyNumberFormat="1" applyFont="1" applyFill="1" applyBorder="1" applyAlignment="1">
      <alignment horizontal="center" vertical="center"/>
    </xf>
    <xf numFmtId="3" fontId="18" fillId="2" borderId="3" xfId="0" applyNumberFormat="1" applyFont="1" applyFill="1" applyBorder="1" applyAlignment="1">
      <alignment horizontal="center" vertical="center"/>
    </xf>
    <xf numFmtId="3" fontId="7" fillId="2" borderId="12" xfId="0" applyNumberFormat="1" applyFont="1" applyFill="1" applyBorder="1" applyAlignment="1">
      <alignment horizontal="center" vertical="center"/>
    </xf>
    <xf numFmtId="3" fontId="16" fillId="2" borderId="10" xfId="0" applyNumberFormat="1" applyFont="1" applyFill="1" applyBorder="1" applyAlignment="1">
      <alignment horizontal="center" vertical="center"/>
    </xf>
    <xf numFmtId="3" fontId="16" fillId="2" borderId="21" xfId="0" applyNumberFormat="1" applyFont="1" applyFill="1" applyBorder="1" applyAlignment="1">
      <alignment horizontal="center" vertical="center"/>
    </xf>
    <xf numFmtId="3" fontId="15" fillId="2" borderId="17" xfId="0" applyNumberFormat="1" applyFont="1" applyFill="1" applyBorder="1" applyAlignment="1">
      <alignment horizontal="center" vertical="center" wrapText="1"/>
    </xf>
    <xf numFmtId="3" fontId="15" fillId="2" borderId="18" xfId="0" applyNumberFormat="1" applyFont="1" applyFill="1" applyBorder="1" applyAlignment="1">
      <alignment horizontal="center" vertical="center" wrapText="1"/>
    </xf>
    <xf numFmtId="3" fontId="15" fillId="2" borderId="19" xfId="0" applyNumberFormat="1" applyFont="1" applyFill="1" applyBorder="1" applyAlignment="1">
      <alignment horizontal="center" vertical="center" wrapText="1"/>
    </xf>
    <xf numFmtId="3" fontId="15" fillId="2" borderId="1" xfId="0" applyNumberFormat="1" applyFont="1" applyFill="1" applyBorder="1" applyAlignment="1">
      <alignment horizontal="center" vertical="center" wrapText="1"/>
    </xf>
    <xf numFmtId="3" fontId="15" fillId="2" borderId="13" xfId="0" applyNumberFormat="1" applyFont="1" applyFill="1" applyBorder="1" applyAlignment="1">
      <alignment horizontal="center" vertical="center" wrapText="1"/>
    </xf>
    <xf numFmtId="3" fontId="15" fillId="2" borderId="4" xfId="0" applyNumberFormat="1" applyFont="1" applyFill="1" applyBorder="1" applyAlignment="1">
      <alignment horizontal="center" vertical="center" wrapText="1"/>
    </xf>
    <xf numFmtId="3" fontId="15" fillId="2" borderId="5" xfId="0" applyNumberFormat="1" applyFont="1" applyFill="1" applyBorder="1" applyAlignment="1">
      <alignment horizontal="center" vertical="center" wrapText="1"/>
    </xf>
    <xf numFmtId="3" fontId="15" fillId="2" borderId="6" xfId="0" applyNumberFormat="1" applyFont="1" applyFill="1" applyBorder="1" applyAlignment="1">
      <alignment horizontal="center" vertical="center" wrapText="1"/>
    </xf>
    <xf numFmtId="3" fontId="15" fillId="2" borderId="3" xfId="0" applyNumberFormat="1" applyFont="1" applyFill="1" applyBorder="1" applyAlignment="1">
      <alignment horizontal="center" vertical="center" wrapText="1"/>
    </xf>
    <xf numFmtId="3" fontId="15" fillId="2" borderId="12" xfId="0" applyNumberFormat="1" applyFont="1" applyFill="1" applyBorder="1" applyAlignment="1">
      <alignment horizontal="center" vertical="center" wrapText="1"/>
    </xf>
    <xf numFmtId="3" fontId="15" fillId="2" borderId="2" xfId="0" applyNumberFormat="1" applyFont="1" applyFill="1" applyBorder="1" applyAlignment="1">
      <alignment horizontal="center" vertical="center" wrapText="1"/>
    </xf>
    <xf numFmtId="3" fontId="15" fillId="2" borderId="16" xfId="0" applyNumberFormat="1" applyFont="1" applyFill="1" applyBorder="1" applyAlignment="1">
      <alignment horizontal="center" vertical="center" wrapText="1"/>
    </xf>
    <xf numFmtId="0" fontId="19" fillId="2" borderId="0" xfId="0" applyFont="1" applyFill="1" applyAlignment="1">
      <alignment horizontal="center" vertical="center" wrapText="1"/>
    </xf>
    <xf numFmtId="3" fontId="19" fillId="2" borderId="0" xfId="0" applyNumberFormat="1" applyFont="1" applyFill="1" applyAlignment="1">
      <alignment horizontal="center" vertical="center" wrapText="1"/>
    </xf>
    <xf numFmtId="0" fontId="16" fillId="2" borderId="11" xfId="0" applyFont="1" applyFill="1" applyBorder="1" applyAlignment="1">
      <alignment horizontal="right" vertical="center"/>
    </xf>
    <xf numFmtId="0" fontId="16" fillId="2" borderId="21" xfId="0" applyFont="1" applyFill="1" applyBorder="1" applyAlignment="1">
      <alignment horizontal="right" vertical="center"/>
    </xf>
    <xf numFmtId="49" fontId="7" fillId="2" borderId="3"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wrapText="1"/>
    </xf>
    <xf numFmtId="0" fontId="10" fillId="2" borderId="0" xfId="0" applyFont="1" applyFill="1" applyAlignment="1">
      <alignment horizontal="center" vertical="center" wrapText="1"/>
    </xf>
    <xf numFmtId="3" fontId="15" fillId="2" borderId="7" xfId="0" applyNumberFormat="1" applyFont="1" applyFill="1" applyBorder="1" applyAlignment="1">
      <alignment horizontal="center" vertical="center" wrapText="1"/>
    </xf>
    <xf numFmtId="3" fontId="15" fillId="2" borderId="14" xfId="0" applyNumberFormat="1" applyFont="1" applyFill="1" applyBorder="1" applyAlignment="1">
      <alignment horizontal="center" vertical="center" wrapText="1"/>
    </xf>
    <xf numFmtId="3" fontId="9" fillId="2" borderId="0" xfId="0" applyNumberFormat="1" applyFont="1" applyFill="1" applyAlignment="1">
      <alignment horizontal="center" vertical="center"/>
    </xf>
    <xf numFmtId="49" fontId="11" fillId="2" borderId="0" xfId="5" applyNumberFormat="1" applyFont="1" applyFill="1" applyAlignment="1">
      <alignment horizontal="center" vertical="center" wrapText="1"/>
    </xf>
    <xf numFmtId="0" fontId="12" fillId="2" borderId="0" xfId="5" applyFont="1" applyFill="1" applyAlignment="1">
      <alignment horizontal="center" vertical="center" wrapText="1"/>
    </xf>
    <xf numFmtId="0" fontId="14" fillId="2" borderId="4"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2" xfId="0" applyFont="1" applyFill="1" applyBorder="1" applyAlignment="1">
      <alignment horizontal="center" vertical="center" wrapText="1"/>
    </xf>
    <xf numFmtId="49" fontId="15" fillId="2" borderId="5"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49" fontId="15" fillId="2" borderId="13" xfId="0" applyNumberFormat="1"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14" xfId="0" applyFont="1" applyFill="1" applyBorder="1" applyAlignment="1">
      <alignment horizontal="center" vertical="center" wrapText="1"/>
    </xf>
    <xf numFmtId="3" fontId="15" fillId="2" borderId="15" xfId="0" applyNumberFormat="1" applyFont="1" applyFill="1" applyBorder="1" applyAlignment="1">
      <alignment horizontal="center" vertical="center" wrapText="1"/>
    </xf>
    <xf numFmtId="3" fontId="15" fillId="2" borderId="8" xfId="0" applyNumberFormat="1" applyFont="1" applyFill="1" applyBorder="1" applyAlignment="1">
      <alignment horizontal="center" vertical="center" wrapText="1"/>
    </xf>
    <xf numFmtId="3" fontId="15" fillId="2" borderId="9" xfId="0" applyNumberFormat="1" applyFont="1" applyFill="1" applyBorder="1" applyAlignment="1">
      <alignment horizontal="center" vertical="center" wrapText="1"/>
    </xf>
    <xf numFmtId="3" fontId="15" fillId="2" borderId="20" xfId="0" applyNumberFormat="1" applyFont="1" applyFill="1" applyBorder="1" applyAlignment="1">
      <alignment horizontal="center" vertical="center" wrapText="1"/>
    </xf>
  </cellXfs>
  <cellStyles count="15">
    <cellStyle name="Звичайний 2" xfId="8"/>
    <cellStyle name="Звичайний 3" xfId="6"/>
    <cellStyle name="Обычный" xfId="0" builtinId="0"/>
    <cellStyle name="Обычный 2" xfId="11"/>
    <cellStyle name="Обычный 3" xfId="1"/>
    <cellStyle name="Обычный 4" xfId="10"/>
    <cellStyle name="Обычный_osvita" xfId="2"/>
    <cellStyle name="Обычный_TDSheet" xfId="3"/>
    <cellStyle name="Обычный_СОЦ-ЕКОН.РОЗВ.2009" xfId="5"/>
    <cellStyle name="Стиль 1" xfId="4"/>
    <cellStyle name="Финансовый" xfId="14" builtinId="3"/>
    <cellStyle name="Фінансовий 2" xfId="9"/>
    <cellStyle name="Фінансовий 3" xfId="7"/>
    <cellStyle name="Фінансовий 3 2" xfId="12"/>
    <cellStyle name="Фінансовий 4" xfId="13"/>
  </cellStyles>
  <dxfs count="0"/>
  <tableStyles count="0" defaultTableStyle="TableStyleMedium9" defaultPivotStyle="PivotStyleLight16"/>
  <colors>
    <mruColors>
      <color rgb="FFCCFF99"/>
      <color rgb="FF00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427"/>
  <sheetViews>
    <sheetView showZeros="0" tabSelected="1" view="pageBreakPreview" zoomScale="80" zoomScaleNormal="90" zoomScaleSheetLayoutView="80" workbookViewId="0">
      <pane xSplit="4" ySplit="12" topLeftCell="E411" activePane="bottomRight" state="frozen"/>
      <selection pane="topRight" activeCell="E1" sqref="E1"/>
      <selection pane="bottomLeft" activeCell="A13" sqref="A13"/>
      <selection pane="bottomRight" activeCell="H418" sqref="D418:H423"/>
    </sheetView>
  </sheetViews>
  <sheetFormatPr defaultColWidth="10.1640625" defaultRowHeight="11.25" x14ac:dyDescent="0.2"/>
  <cols>
    <col min="1" max="1" width="14" style="3" customWidth="1"/>
    <col min="2" max="2" width="9.6640625" style="7" customWidth="1"/>
    <col min="3" max="3" width="11" style="7" customWidth="1"/>
    <col min="4" max="4" width="47.6640625" style="91" customWidth="1"/>
    <col min="5" max="9" width="24.33203125" style="92" customWidth="1"/>
    <col min="10" max="16" width="24.33203125" style="4" customWidth="1"/>
    <col min="17" max="17" width="21.33203125" style="93" customWidth="1"/>
    <col min="18" max="18" width="17.83203125" style="93" customWidth="1"/>
    <col min="19" max="152" width="10.1640625" style="93"/>
    <col min="153" max="402" width="0" style="93" hidden="1" customWidth="1"/>
    <col min="403" max="16384" width="10.1640625" style="93"/>
  </cols>
  <sheetData>
    <row r="1" spans="1:18" s="6" customFormat="1" ht="18.75" x14ac:dyDescent="0.2">
      <c r="A1" s="3"/>
      <c r="B1" s="128" t="s">
        <v>440</v>
      </c>
      <c r="C1" s="128"/>
      <c r="D1" s="128"/>
      <c r="E1" s="128"/>
      <c r="F1" s="128"/>
      <c r="G1" s="128"/>
      <c r="H1" s="128"/>
      <c r="I1" s="128"/>
      <c r="J1" s="128"/>
      <c r="K1" s="128"/>
      <c r="L1" s="128"/>
      <c r="M1" s="128"/>
      <c r="N1" s="128"/>
      <c r="O1" s="4"/>
      <c r="P1" s="5"/>
    </row>
    <row r="2" spans="1:18" s="6" customFormat="1" ht="18.75" x14ac:dyDescent="0.2">
      <c r="A2" s="3"/>
      <c r="B2" s="95"/>
      <c r="C2" s="95"/>
      <c r="D2" s="95"/>
      <c r="E2" s="95"/>
      <c r="F2" s="95"/>
      <c r="G2" s="95"/>
      <c r="H2" s="95"/>
      <c r="I2" s="95"/>
      <c r="J2" s="95"/>
      <c r="K2" s="95"/>
      <c r="L2" s="95"/>
      <c r="M2" s="95"/>
      <c r="N2" s="131" t="s">
        <v>305</v>
      </c>
      <c r="O2" s="131"/>
      <c r="P2" s="5"/>
    </row>
    <row r="3" spans="1:18" s="6" customFormat="1" x14ac:dyDescent="0.2">
      <c r="A3" s="3"/>
      <c r="B3" s="7"/>
      <c r="C3" s="7"/>
      <c r="E3" s="8"/>
      <c r="F3" s="8"/>
      <c r="G3" s="8"/>
      <c r="H3" s="8"/>
      <c r="I3" s="8"/>
      <c r="J3" s="4"/>
      <c r="K3" s="4"/>
      <c r="L3" s="4"/>
      <c r="M3" s="4"/>
      <c r="N3" s="4" t="s">
        <v>651</v>
      </c>
      <c r="O3" s="4"/>
      <c r="P3" s="4"/>
    </row>
    <row r="4" spans="1:18" s="6" customFormat="1" x14ac:dyDescent="0.2">
      <c r="A4" s="3"/>
      <c r="B4" s="7"/>
      <c r="C4" s="7"/>
      <c r="E4" s="8"/>
      <c r="F4" s="8"/>
      <c r="G4" s="8"/>
      <c r="H4" s="8"/>
      <c r="I4" s="8"/>
      <c r="J4" s="4"/>
      <c r="K4" s="4"/>
      <c r="L4" s="4"/>
      <c r="M4" s="4"/>
      <c r="N4" s="131" t="s">
        <v>290</v>
      </c>
      <c r="O4" s="131"/>
      <c r="P4" s="4"/>
    </row>
    <row r="5" spans="1:18" s="6" customFormat="1" x14ac:dyDescent="0.2">
      <c r="A5" s="3"/>
      <c r="B5" s="7"/>
      <c r="C5" s="7"/>
      <c r="E5" s="8"/>
      <c r="F5" s="8"/>
      <c r="G5" s="8"/>
      <c r="H5" s="8"/>
      <c r="I5" s="8"/>
      <c r="J5" s="4"/>
      <c r="K5" s="4"/>
      <c r="L5" s="4"/>
      <c r="M5" s="4"/>
      <c r="N5" s="4"/>
      <c r="O5" s="4"/>
      <c r="P5" s="4"/>
    </row>
    <row r="6" spans="1:18" s="6" customFormat="1" ht="12" x14ac:dyDescent="0.2">
      <c r="A6" s="132" t="s">
        <v>421</v>
      </c>
      <c r="B6" s="132"/>
      <c r="C6" s="7"/>
      <c r="E6" s="8"/>
      <c r="F6" s="8"/>
      <c r="G6" s="8"/>
      <c r="H6" s="8"/>
      <c r="I6" s="8"/>
      <c r="J6" s="4"/>
      <c r="K6" s="4"/>
      <c r="L6" s="4"/>
      <c r="M6" s="4"/>
      <c r="N6" s="4"/>
      <c r="O6" s="4"/>
      <c r="P6" s="4"/>
    </row>
    <row r="7" spans="1:18" s="6" customFormat="1" ht="20.25" x14ac:dyDescent="0.3">
      <c r="A7" s="133" t="s">
        <v>343</v>
      </c>
      <c r="B7" s="133"/>
      <c r="C7" s="7"/>
      <c r="E7" s="8"/>
      <c r="F7" s="9"/>
      <c r="G7" s="8"/>
      <c r="H7" s="8"/>
      <c r="I7" s="8"/>
      <c r="J7" s="4"/>
      <c r="K7" s="4"/>
      <c r="L7" s="4"/>
      <c r="M7" s="4"/>
      <c r="N7" s="4"/>
      <c r="O7" s="4"/>
      <c r="P7" s="4"/>
    </row>
    <row r="8" spans="1:18" s="6" customFormat="1" ht="12" thickBot="1" x14ac:dyDescent="0.25">
      <c r="A8" s="3"/>
      <c r="B8" s="7"/>
      <c r="C8" s="7"/>
      <c r="E8" s="8"/>
      <c r="F8" s="8"/>
      <c r="G8" s="8"/>
      <c r="H8" s="8"/>
      <c r="I8" s="8"/>
      <c r="J8" s="4"/>
      <c r="K8" s="4"/>
      <c r="L8" s="4"/>
      <c r="M8" s="4"/>
      <c r="N8" s="4"/>
      <c r="O8" s="4"/>
      <c r="P8" s="4" t="s">
        <v>0</v>
      </c>
    </row>
    <row r="9" spans="1:18" s="6" customFormat="1" ht="24" customHeight="1" x14ac:dyDescent="0.2">
      <c r="A9" s="134" t="s">
        <v>268</v>
      </c>
      <c r="B9" s="137" t="s">
        <v>269</v>
      </c>
      <c r="C9" s="137" t="s">
        <v>270</v>
      </c>
      <c r="D9" s="140" t="s">
        <v>298</v>
      </c>
      <c r="E9" s="143" t="s">
        <v>271</v>
      </c>
      <c r="F9" s="116"/>
      <c r="G9" s="116"/>
      <c r="H9" s="116"/>
      <c r="I9" s="144"/>
      <c r="J9" s="115" t="s">
        <v>272</v>
      </c>
      <c r="K9" s="116"/>
      <c r="L9" s="116"/>
      <c r="M9" s="116"/>
      <c r="N9" s="116"/>
      <c r="O9" s="117"/>
      <c r="P9" s="110" t="s">
        <v>1</v>
      </c>
    </row>
    <row r="10" spans="1:18" s="6" customFormat="1" ht="24" customHeight="1" x14ac:dyDescent="0.2">
      <c r="A10" s="135"/>
      <c r="B10" s="138"/>
      <c r="C10" s="138"/>
      <c r="D10" s="141"/>
      <c r="E10" s="145" t="s">
        <v>2</v>
      </c>
      <c r="F10" s="113" t="s">
        <v>51</v>
      </c>
      <c r="G10" s="113" t="s">
        <v>3</v>
      </c>
      <c r="H10" s="113"/>
      <c r="I10" s="120" t="s">
        <v>52</v>
      </c>
      <c r="J10" s="118" t="s">
        <v>2</v>
      </c>
      <c r="K10" s="113" t="s">
        <v>267</v>
      </c>
      <c r="L10" s="113" t="s">
        <v>51</v>
      </c>
      <c r="M10" s="113" t="s">
        <v>3</v>
      </c>
      <c r="N10" s="113"/>
      <c r="O10" s="129" t="s">
        <v>52</v>
      </c>
      <c r="P10" s="111"/>
    </row>
    <row r="11" spans="1:18" s="6" customFormat="1" ht="24" customHeight="1" x14ac:dyDescent="0.2">
      <c r="A11" s="135"/>
      <c r="B11" s="138"/>
      <c r="C11" s="138"/>
      <c r="D11" s="141"/>
      <c r="E11" s="145"/>
      <c r="F11" s="113"/>
      <c r="G11" s="113" t="s">
        <v>4</v>
      </c>
      <c r="H11" s="113" t="s">
        <v>5</v>
      </c>
      <c r="I11" s="120"/>
      <c r="J11" s="118"/>
      <c r="K11" s="113"/>
      <c r="L11" s="113"/>
      <c r="M11" s="113" t="s">
        <v>4</v>
      </c>
      <c r="N11" s="113" t="s">
        <v>5</v>
      </c>
      <c r="O11" s="129"/>
      <c r="P11" s="111"/>
    </row>
    <row r="12" spans="1:18" s="6" customFormat="1" ht="82.5" customHeight="1" thickBot="1" x14ac:dyDescent="0.25">
      <c r="A12" s="136"/>
      <c r="B12" s="139"/>
      <c r="C12" s="139"/>
      <c r="D12" s="142"/>
      <c r="E12" s="146"/>
      <c r="F12" s="114"/>
      <c r="G12" s="114"/>
      <c r="H12" s="114"/>
      <c r="I12" s="121"/>
      <c r="J12" s="119"/>
      <c r="K12" s="114"/>
      <c r="L12" s="114"/>
      <c r="M12" s="114"/>
      <c r="N12" s="114"/>
      <c r="O12" s="130"/>
      <c r="P12" s="112"/>
    </row>
    <row r="13" spans="1:18" s="17" customFormat="1" ht="25.5" x14ac:dyDescent="0.2">
      <c r="A13" s="10">
        <v>200000</v>
      </c>
      <c r="B13" s="11"/>
      <c r="C13" s="11"/>
      <c r="D13" s="12" t="s">
        <v>6</v>
      </c>
      <c r="E13" s="13">
        <f>E15+E16+E18+E38+E42+E43+E50+E53+E54+E60+E63+E39+E58+E69+E70</f>
        <v>342516288.84000003</v>
      </c>
      <c r="F13" s="13">
        <f>F15+F16+F18+F38+F42+F43+F50+F53+F54+F60+F63+F39+F58+F69+F70</f>
        <v>341366288.84000003</v>
      </c>
      <c r="G13" s="13">
        <f t="shared" ref="G13:O13" si="0">G15+G16+G18+G38+G42+G43+G50+G53+G54+G60+G63+G39</f>
        <v>73102500</v>
      </c>
      <c r="H13" s="13">
        <f>H15+H16+H18+H38+H42+H43+H50+H53+H54+H60+H63+H39</f>
        <v>4256831</v>
      </c>
      <c r="I13" s="14">
        <f t="shared" si="0"/>
        <v>1150000</v>
      </c>
      <c r="J13" s="102">
        <f t="shared" si="0"/>
        <v>29101363</v>
      </c>
      <c r="K13" s="13">
        <f t="shared" si="0"/>
        <v>29051363</v>
      </c>
      <c r="L13" s="13">
        <f t="shared" si="0"/>
        <v>50000</v>
      </c>
      <c r="M13" s="13">
        <f t="shared" si="0"/>
        <v>0</v>
      </c>
      <c r="N13" s="13">
        <f t="shared" si="0"/>
        <v>0</v>
      </c>
      <c r="O13" s="14">
        <f t="shared" si="0"/>
        <v>29051363</v>
      </c>
      <c r="P13" s="15">
        <f>P15+P16+P18+P38+P42+P43+P50+P53+P54+P60+P63+P39+P58+P69+P70</f>
        <v>371617651.84000003</v>
      </c>
      <c r="Q13" s="16"/>
      <c r="R13" s="16"/>
    </row>
    <row r="14" spans="1:18" s="17" customFormat="1" ht="25.5" x14ac:dyDescent="0.2">
      <c r="A14" s="18">
        <v>210000</v>
      </c>
      <c r="B14" s="19"/>
      <c r="C14" s="19"/>
      <c r="D14" s="20" t="s">
        <v>6</v>
      </c>
      <c r="E14" s="21"/>
      <c r="F14" s="21"/>
      <c r="G14" s="21"/>
      <c r="H14" s="21"/>
      <c r="I14" s="22"/>
      <c r="J14" s="103"/>
      <c r="K14" s="23"/>
      <c r="L14" s="21"/>
      <c r="M14" s="21"/>
      <c r="N14" s="21"/>
      <c r="O14" s="22"/>
      <c r="P14" s="24">
        <f t="shared" ref="P14:P102" si="1">E14+J14</f>
        <v>0</v>
      </c>
      <c r="Q14" s="16"/>
    </row>
    <row r="15" spans="1:18" s="27" customFormat="1" ht="36" x14ac:dyDescent="0.2">
      <c r="A15" s="96" t="s">
        <v>209</v>
      </c>
      <c r="B15" s="97" t="s">
        <v>59</v>
      </c>
      <c r="C15" s="97" t="s">
        <v>22</v>
      </c>
      <c r="D15" s="2" t="s">
        <v>412</v>
      </c>
      <c r="E15" s="23">
        <f>F15+I15</f>
        <v>101415917</v>
      </c>
      <c r="F15" s="23">
        <f>74829415-51624+119495+7200000+899600-20000+16997500+172531+1024000+305000-60000</f>
        <v>101415917</v>
      </c>
      <c r="G15" s="23">
        <f>54000000+5100000+13697500+305000</f>
        <v>73102500</v>
      </c>
      <c r="H15" s="23">
        <f>3754000+28300+172531+350000-60000</f>
        <v>4244831</v>
      </c>
      <c r="I15" s="25"/>
      <c r="J15" s="103">
        <f>L15+O15</f>
        <v>593262</v>
      </c>
      <c r="K15" s="23">
        <v>543262</v>
      </c>
      <c r="L15" s="23">
        <v>50000</v>
      </c>
      <c r="M15" s="23"/>
      <c r="N15" s="23"/>
      <c r="O15" s="25">
        <v>543262</v>
      </c>
      <c r="P15" s="26">
        <f>E15+J15</f>
        <v>102009179</v>
      </c>
      <c r="Q15" s="16"/>
    </row>
    <row r="16" spans="1:18" s="27" customFormat="1" ht="36" x14ac:dyDescent="0.2">
      <c r="A16" s="96" t="s">
        <v>396</v>
      </c>
      <c r="B16" s="97" t="s">
        <v>98</v>
      </c>
      <c r="C16" s="97" t="s">
        <v>397</v>
      </c>
      <c r="D16" s="2" t="s">
        <v>398</v>
      </c>
      <c r="E16" s="23">
        <f>F16+I16</f>
        <v>337300</v>
      </c>
      <c r="F16" s="23">
        <f>F17</f>
        <v>337300</v>
      </c>
      <c r="G16" s="23"/>
      <c r="H16" s="23"/>
      <c r="I16" s="25"/>
      <c r="J16" s="103"/>
      <c r="K16" s="23"/>
      <c r="L16" s="23"/>
      <c r="M16" s="23"/>
      <c r="N16" s="23"/>
      <c r="O16" s="25"/>
      <c r="P16" s="26">
        <f t="shared" ref="P16:P70" si="2">E16+J16</f>
        <v>337300</v>
      </c>
      <c r="Q16" s="16"/>
    </row>
    <row r="17" spans="1:17" s="27" customFormat="1" ht="54" customHeight="1" x14ac:dyDescent="0.2">
      <c r="A17" s="96"/>
      <c r="B17" s="97"/>
      <c r="C17" s="97"/>
      <c r="D17" s="2" t="s">
        <v>598</v>
      </c>
      <c r="E17" s="23">
        <f t="shared" ref="E17:E70" si="3">F17+I17</f>
        <v>337300</v>
      </c>
      <c r="F17" s="23">
        <f>396000+151300-210000</f>
        <v>337300</v>
      </c>
      <c r="G17" s="23"/>
      <c r="H17" s="23"/>
      <c r="I17" s="25"/>
      <c r="J17" s="103">
        <f t="shared" ref="J17:J70" si="4">L17+O17</f>
        <v>0</v>
      </c>
      <c r="K17" s="23"/>
      <c r="L17" s="23"/>
      <c r="M17" s="23"/>
      <c r="N17" s="23"/>
      <c r="O17" s="25"/>
      <c r="P17" s="26">
        <f t="shared" si="2"/>
        <v>337300</v>
      </c>
      <c r="Q17" s="16"/>
    </row>
    <row r="18" spans="1:17" s="27" customFormat="1" ht="12.75" x14ac:dyDescent="0.2">
      <c r="A18" s="96" t="s">
        <v>155</v>
      </c>
      <c r="B18" s="97" t="s">
        <v>14</v>
      </c>
      <c r="C18" s="97" t="s">
        <v>15</v>
      </c>
      <c r="D18" s="2" t="s">
        <v>156</v>
      </c>
      <c r="E18" s="23">
        <f>F18+I18</f>
        <v>7401161.8399999999</v>
      </c>
      <c r="F18" s="23">
        <f>SUM(F20:F37)</f>
        <v>7401161.8399999999</v>
      </c>
      <c r="G18" s="23">
        <f>SUM(G20:G44)</f>
        <v>0</v>
      </c>
      <c r="H18" s="23">
        <f>SUM(H20:H44)</f>
        <v>12000</v>
      </c>
      <c r="I18" s="25"/>
      <c r="J18" s="103">
        <f t="shared" ref="J18:O18" si="5">SUM(J20:J37)</f>
        <v>1006000</v>
      </c>
      <c r="K18" s="23">
        <f>SUM(K20:K37)</f>
        <v>1006000</v>
      </c>
      <c r="L18" s="23">
        <f t="shared" si="5"/>
        <v>0</v>
      </c>
      <c r="M18" s="23">
        <f t="shared" si="5"/>
        <v>0</v>
      </c>
      <c r="N18" s="23">
        <f t="shared" si="5"/>
        <v>0</v>
      </c>
      <c r="O18" s="25">
        <f t="shared" si="5"/>
        <v>1006000</v>
      </c>
      <c r="P18" s="26">
        <f t="shared" si="2"/>
        <v>8407161.8399999999</v>
      </c>
      <c r="Q18" s="16"/>
    </row>
    <row r="19" spans="1:17" s="27" customFormat="1" ht="12.75" x14ac:dyDescent="0.2">
      <c r="A19" s="96"/>
      <c r="B19" s="97"/>
      <c r="C19" s="97"/>
      <c r="D19" s="2" t="s">
        <v>169</v>
      </c>
      <c r="E19" s="23"/>
      <c r="F19" s="23"/>
      <c r="G19" s="23"/>
      <c r="H19" s="23"/>
      <c r="I19" s="25"/>
      <c r="J19" s="103"/>
      <c r="K19" s="23"/>
      <c r="L19" s="23"/>
      <c r="M19" s="23"/>
      <c r="N19" s="23"/>
      <c r="O19" s="25"/>
      <c r="P19" s="26">
        <f t="shared" si="2"/>
        <v>0</v>
      </c>
      <c r="Q19" s="16"/>
    </row>
    <row r="20" spans="1:17" s="27" customFormat="1" ht="12.75" x14ac:dyDescent="0.2">
      <c r="A20" s="96"/>
      <c r="B20" s="97"/>
      <c r="C20" s="97"/>
      <c r="D20" s="28" t="s">
        <v>39</v>
      </c>
      <c r="E20" s="23">
        <f t="shared" si="3"/>
        <v>244000</v>
      </c>
      <c r="F20" s="23">
        <f>800000-556000</f>
        <v>244000</v>
      </c>
      <c r="G20" s="23"/>
      <c r="H20" s="23"/>
      <c r="I20" s="25"/>
      <c r="J20" s="103">
        <f t="shared" si="4"/>
        <v>0</v>
      </c>
      <c r="K20" s="23"/>
      <c r="L20" s="23"/>
      <c r="M20" s="23"/>
      <c r="N20" s="23"/>
      <c r="O20" s="25"/>
      <c r="P20" s="26">
        <f t="shared" si="2"/>
        <v>244000</v>
      </c>
      <c r="Q20" s="16"/>
    </row>
    <row r="21" spans="1:17" s="27" customFormat="1" ht="81" customHeight="1" x14ac:dyDescent="0.2">
      <c r="A21" s="96"/>
      <c r="B21" s="97"/>
      <c r="C21" s="97"/>
      <c r="D21" s="28" t="s">
        <v>650</v>
      </c>
      <c r="E21" s="23">
        <f t="shared" si="3"/>
        <v>190000</v>
      </c>
      <c r="F21" s="23">
        <f>600000-310000-100000</f>
        <v>190000</v>
      </c>
      <c r="G21" s="23"/>
      <c r="H21" s="23"/>
      <c r="I21" s="25"/>
      <c r="J21" s="103">
        <f t="shared" si="4"/>
        <v>0</v>
      </c>
      <c r="K21" s="23"/>
      <c r="L21" s="23"/>
      <c r="M21" s="23"/>
      <c r="N21" s="23"/>
      <c r="O21" s="25"/>
      <c r="P21" s="26">
        <f t="shared" si="2"/>
        <v>190000</v>
      </c>
      <c r="Q21" s="16"/>
    </row>
    <row r="22" spans="1:17" s="27" customFormat="1" ht="24" x14ac:dyDescent="0.2">
      <c r="A22" s="96"/>
      <c r="B22" s="97"/>
      <c r="C22" s="97"/>
      <c r="D22" s="28" t="s">
        <v>168</v>
      </c>
      <c r="E22" s="23">
        <f t="shared" si="3"/>
        <v>12000</v>
      </c>
      <c r="F22" s="23">
        <f>304026-119495-172531</f>
        <v>12000</v>
      </c>
      <c r="G22" s="23"/>
      <c r="H22" s="23">
        <f>304026-119495-172531</f>
        <v>12000</v>
      </c>
      <c r="I22" s="25"/>
      <c r="J22" s="103">
        <f t="shared" si="4"/>
        <v>0</v>
      </c>
      <c r="K22" s="23"/>
      <c r="L22" s="23"/>
      <c r="M22" s="23"/>
      <c r="N22" s="23"/>
      <c r="O22" s="25"/>
      <c r="P22" s="26">
        <f t="shared" si="2"/>
        <v>12000</v>
      </c>
      <c r="Q22" s="16"/>
    </row>
    <row r="23" spans="1:17" s="27" customFormat="1" ht="60" x14ac:dyDescent="0.2">
      <c r="A23" s="96"/>
      <c r="B23" s="97"/>
      <c r="C23" s="97"/>
      <c r="D23" s="28" t="s">
        <v>328</v>
      </c>
      <c r="E23" s="23">
        <f t="shared" si="3"/>
        <v>3960174</v>
      </c>
      <c r="F23" s="23">
        <f>2305974+150000+962200+100000+100000+342000</f>
        <v>3960174</v>
      </c>
      <c r="G23" s="23"/>
      <c r="H23" s="23"/>
      <c r="I23" s="25"/>
      <c r="J23" s="103">
        <f t="shared" si="4"/>
        <v>0</v>
      </c>
      <c r="K23" s="23"/>
      <c r="L23" s="23"/>
      <c r="M23" s="23"/>
      <c r="N23" s="23"/>
      <c r="O23" s="25"/>
      <c r="P23" s="26">
        <f t="shared" si="2"/>
        <v>3960174</v>
      </c>
      <c r="Q23" s="16"/>
    </row>
    <row r="24" spans="1:17" s="27" customFormat="1" ht="12.75" x14ac:dyDescent="0.2">
      <c r="A24" s="96"/>
      <c r="B24" s="97"/>
      <c r="C24" s="97"/>
      <c r="D24" s="28" t="s">
        <v>307</v>
      </c>
      <c r="E24" s="23">
        <f t="shared" si="3"/>
        <v>1318700</v>
      </c>
      <c r="F24" s="23">
        <f>99900+200000+99900+400000+400000+450000+99900-450000+19000</f>
        <v>1318700</v>
      </c>
      <c r="G24" s="23"/>
      <c r="H24" s="23"/>
      <c r="I24" s="25"/>
      <c r="J24" s="103">
        <f t="shared" si="4"/>
        <v>506000</v>
      </c>
      <c r="K24" s="23">
        <f>525000-19000</f>
        <v>506000</v>
      </c>
      <c r="L24" s="23"/>
      <c r="M24" s="23"/>
      <c r="N24" s="23"/>
      <c r="O24" s="25">
        <f>525000-19000</f>
        <v>506000</v>
      </c>
      <c r="P24" s="26">
        <f t="shared" si="2"/>
        <v>1824700</v>
      </c>
      <c r="Q24" s="16"/>
    </row>
    <row r="25" spans="1:17" s="27" customFormat="1" ht="54" customHeight="1" x14ac:dyDescent="0.2">
      <c r="A25" s="96"/>
      <c r="B25" s="97"/>
      <c r="C25" s="97"/>
      <c r="D25" s="2" t="s">
        <v>542</v>
      </c>
      <c r="E25" s="23"/>
      <c r="F25" s="23"/>
      <c r="G25" s="23"/>
      <c r="H25" s="23"/>
      <c r="I25" s="25"/>
      <c r="J25" s="103">
        <f t="shared" si="4"/>
        <v>500000</v>
      </c>
      <c r="K25" s="23">
        <v>500000</v>
      </c>
      <c r="L25" s="23"/>
      <c r="M25" s="23"/>
      <c r="N25" s="23"/>
      <c r="O25" s="25">
        <f>500000</f>
        <v>500000</v>
      </c>
      <c r="P25" s="26">
        <f t="shared" si="2"/>
        <v>500000</v>
      </c>
      <c r="Q25" s="16"/>
    </row>
    <row r="26" spans="1:17" s="27" customFormat="1" ht="74.25" customHeight="1" x14ac:dyDescent="0.2">
      <c r="A26" s="96"/>
      <c r="B26" s="97"/>
      <c r="C26" s="97"/>
      <c r="D26" s="28" t="s">
        <v>652</v>
      </c>
      <c r="E26" s="23">
        <f>F26</f>
        <v>50000</v>
      </c>
      <c r="F26" s="23">
        <v>50000</v>
      </c>
      <c r="G26" s="23"/>
      <c r="H26" s="23"/>
      <c r="I26" s="25"/>
      <c r="J26" s="103">
        <f t="shared" si="4"/>
        <v>0</v>
      </c>
      <c r="K26" s="23"/>
      <c r="L26" s="23"/>
      <c r="M26" s="23"/>
      <c r="N26" s="23"/>
      <c r="O26" s="25"/>
      <c r="P26" s="26">
        <f t="shared" si="2"/>
        <v>50000</v>
      </c>
      <c r="Q26" s="16"/>
    </row>
    <row r="27" spans="1:17" s="27" customFormat="1" ht="60.75" customHeight="1" x14ac:dyDescent="0.2">
      <c r="A27" s="96"/>
      <c r="B27" s="97"/>
      <c r="C27" s="97"/>
      <c r="D27" s="28" t="s">
        <v>653</v>
      </c>
      <c r="E27" s="23">
        <f t="shared" ref="E27:E37" si="6">F27</f>
        <v>20100</v>
      </c>
      <c r="F27" s="23">
        <v>20100</v>
      </c>
      <c r="G27" s="23"/>
      <c r="H27" s="23"/>
      <c r="I27" s="25"/>
      <c r="J27" s="103"/>
      <c r="K27" s="23"/>
      <c r="L27" s="23"/>
      <c r="M27" s="23"/>
      <c r="N27" s="23"/>
      <c r="O27" s="25"/>
      <c r="P27" s="26">
        <f t="shared" si="2"/>
        <v>20100</v>
      </c>
      <c r="Q27" s="16"/>
    </row>
    <row r="28" spans="1:17" s="27" customFormat="1" ht="63.75" customHeight="1" x14ac:dyDescent="0.2">
      <c r="A28" s="96"/>
      <c r="B28" s="97"/>
      <c r="C28" s="97"/>
      <c r="D28" s="28" t="s">
        <v>657</v>
      </c>
      <c r="E28" s="23">
        <f t="shared" si="6"/>
        <v>2660</v>
      </c>
      <c r="F28" s="23">
        <v>2660</v>
      </c>
      <c r="G28" s="23"/>
      <c r="H28" s="23"/>
      <c r="I28" s="25"/>
      <c r="J28" s="103"/>
      <c r="K28" s="23"/>
      <c r="L28" s="23"/>
      <c r="M28" s="23"/>
      <c r="N28" s="23"/>
      <c r="O28" s="25"/>
      <c r="P28" s="26">
        <f t="shared" si="2"/>
        <v>2660</v>
      </c>
      <c r="Q28" s="16"/>
    </row>
    <row r="29" spans="1:17" s="27" customFormat="1" ht="54" customHeight="1" x14ac:dyDescent="0.2">
      <c r="A29" s="96"/>
      <c r="B29" s="97"/>
      <c r="C29" s="97"/>
      <c r="D29" s="28" t="s">
        <v>658</v>
      </c>
      <c r="E29" s="23">
        <f t="shared" si="6"/>
        <v>100000</v>
      </c>
      <c r="F29" s="23">
        <v>100000</v>
      </c>
      <c r="G29" s="23"/>
      <c r="H29" s="23"/>
      <c r="I29" s="25"/>
      <c r="J29" s="103"/>
      <c r="K29" s="23"/>
      <c r="L29" s="23"/>
      <c r="M29" s="23"/>
      <c r="N29" s="23"/>
      <c r="O29" s="25"/>
      <c r="P29" s="26">
        <f t="shared" si="2"/>
        <v>100000</v>
      </c>
      <c r="Q29" s="16"/>
    </row>
    <row r="30" spans="1:17" s="27" customFormat="1" ht="86.25" customHeight="1" x14ac:dyDescent="0.2">
      <c r="A30" s="96"/>
      <c r="B30" s="97"/>
      <c r="C30" s="97"/>
      <c r="D30" s="28" t="s">
        <v>656</v>
      </c>
      <c r="E30" s="23">
        <f t="shared" si="6"/>
        <v>3407.84</v>
      </c>
      <c r="F30" s="23">
        <v>3407.84</v>
      </c>
      <c r="G30" s="23"/>
      <c r="H30" s="23"/>
      <c r="I30" s="25"/>
      <c r="J30" s="103"/>
      <c r="K30" s="23"/>
      <c r="L30" s="23"/>
      <c r="M30" s="23"/>
      <c r="N30" s="23"/>
      <c r="O30" s="25"/>
      <c r="P30" s="26">
        <f t="shared" si="2"/>
        <v>3407.84</v>
      </c>
      <c r="Q30" s="16"/>
    </row>
    <row r="31" spans="1:17" s="27" customFormat="1" ht="120" customHeight="1" x14ac:dyDescent="0.2">
      <c r="A31" s="96"/>
      <c r="B31" s="97"/>
      <c r="C31" s="97"/>
      <c r="D31" s="28" t="s">
        <v>527</v>
      </c>
      <c r="E31" s="23">
        <f t="shared" si="6"/>
        <v>200000</v>
      </c>
      <c r="F31" s="23">
        <v>200000</v>
      </c>
      <c r="G31" s="23"/>
      <c r="H31" s="23"/>
      <c r="I31" s="25"/>
      <c r="J31" s="103"/>
      <c r="K31" s="23"/>
      <c r="L31" s="23"/>
      <c r="M31" s="23"/>
      <c r="N31" s="23"/>
      <c r="O31" s="25"/>
      <c r="P31" s="26">
        <f t="shared" si="2"/>
        <v>200000</v>
      </c>
      <c r="Q31" s="16"/>
    </row>
    <row r="32" spans="1:17" s="27" customFormat="1" ht="59.25" customHeight="1" x14ac:dyDescent="0.2">
      <c r="A32" s="96"/>
      <c r="B32" s="97"/>
      <c r="C32" s="97"/>
      <c r="D32" s="28" t="s">
        <v>528</v>
      </c>
      <c r="E32" s="23">
        <f t="shared" si="6"/>
        <v>700000</v>
      </c>
      <c r="F32" s="23">
        <v>700000</v>
      </c>
      <c r="G32" s="23"/>
      <c r="H32" s="23"/>
      <c r="I32" s="25"/>
      <c r="J32" s="103"/>
      <c r="K32" s="23"/>
      <c r="L32" s="23"/>
      <c r="M32" s="23"/>
      <c r="N32" s="23"/>
      <c r="O32" s="25"/>
      <c r="P32" s="26">
        <f t="shared" si="2"/>
        <v>700000</v>
      </c>
      <c r="Q32" s="16"/>
    </row>
    <row r="33" spans="1:17" s="27" customFormat="1" ht="59.25" customHeight="1" x14ac:dyDescent="0.2">
      <c r="A33" s="96"/>
      <c r="B33" s="97"/>
      <c r="C33" s="97"/>
      <c r="D33" s="28" t="s">
        <v>660</v>
      </c>
      <c r="E33" s="23">
        <f t="shared" ref="E33:E34" si="7">F33</f>
        <v>100000</v>
      </c>
      <c r="F33" s="23">
        <v>100000</v>
      </c>
      <c r="G33" s="23"/>
      <c r="H33" s="23"/>
      <c r="I33" s="25"/>
      <c r="J33" s="103"/>
      <c r="K33" s="23"/>
      <c r="L33" s="23"/>
      <c r="M33" s="23"/>
      <c r="N33" s="23"/>
      <c r="O33" s="25"/>
      <c r="P33" s="26"/>
      <c r="Q33" s="16"/>
    </row>
    <row r="34" spans="1:17" s="27" customFormat="1" ht="89.25" customHeight="1" x14ac:dyDescent="0.2">
      <c r="A34" s="96"/>
      <c r="B34" s="97"/>
      <c r="C34" s="97"/>
      <c r="D34" s="28" t="s">
        <v>659</v>
      </c>
      <c r="E34" s="23">
        <f t="shared" si="7"/>
        <v>120</v>
      </c>
      <c r="F34" s="23">
        <v>120</v>
      </c>
      <c r="G34" s="23"/>
      <c r="H34" s="23"/>
      <c r="I34" s="25"/>
      <c r="J34" s="103"/>
      <c r="K34" s="23"/>
      <c r="L34" s="23"/>
      <c r="M34" s="23"/>
      <c r="N34" s="23"/>
      <c r="O34" s="25"/>
      <c r="P34" s="26">
        <f t="shared" si="2"/>
        <v>120</v>
      </c>
      <c r="Q34" s="16"/>
    </row>
    <row r="35" spans="1:17" s="27" customFormat="1" ht="81" customHeight="1" x14ac:dyDescent="0.2">
      <c r="A35" s="96"/>
      <c r="B35" s="97"/>
      <c r="C35" s="97"/>
      <c r="D35" s="28" t="s">
        <v>529</v>
      </c>
      <c r="E35" s="23">
        <f t="shared" si="6"/>
        <v>100000</v>
      </c>
      <c r="F35" s="23">
        <v>100000</v>
      </c>
      <c r="G35" s="23"/>
      <c r="H35" s="23"/>
      <c r="I35" s="25"/>
      <c r="J35" s="103"/>
      <c r="K35" s="23"/>
      <c r="L35" s="23"/>
      <c r="M35" s="23"/>
      <c r="N35" s="23"/>
      <c r="O35" s="25"/>
      <c r="P35" s="26">
        <f t="shared" si="2"/>
        <v>100000</v>
      </c>
      <c r="Q35" s="16"/>
    </row>
    <row r="36" spans="1:17" s="27" customFormat="1" ht="79.5" customHeight="1" x14ac:dyDescent="0.2">
      <c r="A36" s="96"/>
      <c r="B36" s="97"/>
      <c r="C36" s="28"/>
      <c r="D36" s="28" t="s">
        <v>654</v>
      </c>
      <c r="E36" s="23">
        <f t="shared" si="6"/>
        <v>300000</v>
      </c>
      <c r="F36" s="23">
        <v>300000</v>
      </c>
      <c r="G36" s="23"/>
      <c r="H36" s="23"/>
      <c r="I36" s="25"/>
      <c r="J36" s="103"/>
      <c r="K36" s="23"/>
      <c r="L36" s="23"/>
      <c r="M36" s="23"/>
      <c r="N36" s="23"/>
      <c r="O36" s="25"/>
      <c r="P36" s="26">
        <f t="shared" si="2"/>
        <v>300000</v>
      </c>
      <c r="Q36" s="16"/>
    </row>
    <row r="37" spans="1:17" s="27" customFormat="1" ht="47.25" customHeight="1" x14ac:dyDescent="0.2">
      <c r="A37" s="96"/>
      <c r="B37" s="97"/>
      <c r="C37" s="97"/>
      <c r="D37" s="28" t="s">
        <v>655</v>
      </c>
      <c r="E37" s="23">
        <f t="shared" si="6"/>
        <v>100000</v>
      </c>
      <c r="F37" s="23">
        <v>100000</v>
      </c>
      <c r="G37" s="23"/>
      <c r="H37" s="23"/>
      <c r="I37" s="25"/>
      <c r="J37" s="103"/>
      <c r="K37" s="23"/>
      <c r="L37" s="23"/>
      <c r="M37" s="23"/>
      <c r="N37" s="23"/>
      <c r="O37" s="25"/>
      <c r="P37" s="26">
        <f t="shared" si="2"/>
        <v>100000</v>
      </c>
      <c r="Q37" s="16"/>
    </row>
    <row r="38" spans="1:17" s="27" customFormat="1" ht="12.75" x14ac:dyDescent="0.2">
      <c r="A38" s="96" t="s">
        <v>255</v>
      </c>
      <c r="B38" s="97" t="s">
        <v>256</v>
      </c>
      <c r="C38" s="97" t="s">
        <v>200</v>
      </c>
      <c r="D38" s="2" t="s">
        <v>199</v>
      </c>
      <c r="E38" s="23">
        <f t="shared" si="3"/>
        <v>500000</v>
      </c>
      <c r="F38" s="23">
        <v>500000</v>
      </c>
      <c r="G38" s="23"/>
      <c r="H38" s="23"/>
      <c r="I38" s="25"/>
      <c r="J38" s="103">
        <f t="shared" si="4"/>
        <v>0</v>
      </c>
      <c r="K38" s="23"/>
      <c r="L38" s="23"/>
      <c r="M38" s="23"/>
      <c r="N38" s="23"/>
      <c r="O38" s="25"/>
      <c r="P38" s="26">
        <f t="shared" si="2"/>
        <v>500000</v>
      </c>
      <c r="Q38" s="16"/>
    </row>
    <row r="39" spans="1:17" s="27" customFormat="1" ht="12.75" x14ac:dyDescent="0.2">
      <c r="A39" s="96" t="s">
        <v>436</v>
      </c>
      <c r="B39" s="97" t="s">
        <v>391</v>
      </c>
      <c r="C39" s="97" t="s">
        <v>190</v>
      </c>
      <c r="D39" s="2" t="s">
        <v>392</v>
      </c>
      <c r="E39" s="23">
        <f t="shared" si="3"/>
        <v>1150000</v>
      </c>
      <c r="F39" s="23">
        <f>F41</f>
        <v>0</v>
      </c>
      <c r="G39" s="23">
        <f t="shared" ref="G39:I39" si="8">G41</f>
        <v>0</v>
      </c>
      <c r="H39" s="23">
        <f t="shared" si="8"/>
        <v>0</v>
      </c>
      <c r="I39" s="25">
        <f t="shared" si="8"/>
        <v>1150000</v>
      </c>
      <c r="J39" s="103"/>
      <c r="K39" s="23"/>
      <c r="L39" s="23"/>
      <c r="M39" s="23"/>
      <c r="N39" s="23"/>
      <c r="O39" s="25"/>
      <c r="P39" s="26">
        <f t="shared" si="2"/>
        <v>1150000</v>
      </c>
      <c r="Q39" s="16"/>
    </row>
    <row r="40" spans="1:17" s="27" customFormat="1" ht="12.75" x14ac:dyDescent="0.2">
      <c r="A40" s="96"/>
      <c r="B40" s="97"/>
      <c r="C40" s="97"/>
      <c r="D40" s="29" t="s">
        <v>182</v>
      </c>
      <c r="E40" s="23"/>
      <c r="F40" s="23"/>
      <c r="G40" s="23"/>
      <c r="H40" s="23"/>
      <c r="I40" s="25"/>
      <c r="J40" s="103"/>
      <c r="K40" s="23"/>
      <c r="L40" s="23"/>
      <c r="M40" s="23"/>
      <c r="N40" s="23"/>
      <c r="O40" s="25"/>
      <c r="P40" s="26">
        <f t="shared" si="2"/>
        <v>0</v>
      </c>
      <c r="Q40" s="16"/>
    </row>
    <row r="41" spans="1:17" s="27" customFormat="1" ht="24" x14ac:dyDescent="0.2">
      <c r="A41" s="96"/>
      <c r="B41" s="97"/>
      <c r="C41" s="97"/>
      <c r="D41" s="2" t="s">
        <v>433</v>
      </c>
      <c r="E41" s="23">
        <f t="shared" si="3"/>
        <v>1150000</v>
      </c>
      <c r="F41" s="23"/>
      <c r="G41" s="23"/>
      <c r="H41" s="23"/>
      <c r="I41" s="25">
        <f>1000000+150000</f>
        <v>1150000</v>
      </c>
      <c r="J41" s="103"/>
      <c r="K41" s="23"/>
      <c r="L41" s="23"/>
      <c r="M41" s="23"/>
      <c r="N41" s="23"/>
      <c r="O41" s="25"/>
      <c r="P41" s="26">
        <f t="shared" si="2"/>
        <v>1150000</v>
      </c>
      <c r="Q41" s="16"/>
    </row>
    <row r="42" spans="1:17" s="27" customFormat="1" ht="24" x14ac:dyDescent="0.2">
      <c r="A42" s="96" t="s">
        <v>157</v>
      </c>
      <c r="B42" s="97" t="s">
        <v>158</v>
      </c>
      <c r="C42" s="97" t="s">
        <v>25</v>
      </c>
      <c r="D42" s="28" t="s">
        <v>170</v>
      </c>
      <c r="E42" s="23">
        <f>F42+I42</f>
        <v>1528700</v>
      </c>
      <c r="F42" s="23">
        <f>1628700+500000-600000</f>
        <v>1528700</v>
      </c>
      <c r="G42" s="23"/>
      <c r="H42" s="23"/>
      <c r="I42" s="25"/>
      <c r="J42" s="103">
        <f t="shared" si="4"/>
        <v>0</v>
      </c>
      <c r="K42" s="23"/>
      <c r="L42" s="23"/>
      <c r="M42" s="23"/>
      <c r="N42" s="23"/>
      <c r="O42" s="25"/>
      <c r="P42" s="26">
        <f t="shared" si="2"/>
        <v>1528700</v>
      </c>
      <c r="Q42" s="16"/>
    </row>
    <row r="43" spans="1:17" s="27" customFormat="1" ht="12.75" x14ac:dyDescent="0.2">
      <c r="A43" s="96" t="s">
        <v>280</v>
      </c>
      <c r="B43" s="30" t="s">
        <v>266</v>
      </c>
      <c r="C43" s="97" t="s">
        <v>25</v>
      </c>
      <c r="D43" s="29" t="s">
        <v>181</v>
      </c>
      <c r="E43" s="23">
        <f>F43+I43</f>
        <v>245800</v>
      </c>
      <c r="F43" s="23">
        <f>F45+F46+F47+F48+F49</f>
        <v>245800</v>
      </c>
      <c r="G43" s="23"/>
      <c r="H43" s="23"/>
      <c r="I43" s="25"/>
      <c r="J43" s="103">
        <f>L43+O43</f>
        <v>0</v>
      </c>
      <c r="K43" s="23"/>
      <c r="L43" s="23"/>
      <c r="M43" s="23"/>
      <c r="N43" s="23"/>
      <c r="O43" s="25"/>
      <c r="P43" s="26">
        <f t="shared" si="2"/>
        <v>245800</v>
      </c>
      <c r="Q43" s="16"/>
    </row>
    <row r="44" spans="1:17" s="27" customFormat="1" ht="12.75" x14ac:dyDescent="0.2">
      <c r="A44" s="96"/>
      <c r="B44" s="30"/>
      <c r="C44" s="97"/>
      <c r="D44" s="29" t="s">
        <v>182</v>
      </c>
      <c r="E44" s="23"/>
      <c r="F44" s="23"/>
      <c r="G44" s="23"/>
      <c r="H44" s="23"/>
      <c r="I44" s="25"/>
      <c r="J44" s="103"/>
      <c r="K44" s="23"/>
      <c r="L44" s="23"/>
      <c r="M44" s="23"/>
      <c r="N44" s="23"/>
      <c r="O44" s="25"/>
      <c r="P44" s="26">
        <f t="shared" si="2"/>
        <v>0</v>
      </c>
      <c r="Q44" s="16"/>
    </row>
    <row r="45" spans="1:17" s="27" customFormat="1" ht="12.75" hidden="1" x14ac:dyDescent="0.2">
      <c r="A45" s="96"/>
      <c r="B45" s="30"/>
      <c r="C45" s="97"/>
      <c r="D45" s="28" t="s">
        <v>429</v>
      </c>
      <c r="E45" s="23">
        <f>F45+I45</f>
        <v>0</v>
      </c>
      <c r="F45" s="23">
        <f>500000-500000</f>
        <v>0</v>
      </c>
      <c r="G45" s="23"/>
      <c r="H45" s="23"/>
      <c r="I45" s="25"/>
      <c r="J45" s="103"/>
      <c r="K45" s="23"/>
      <c r="L45" s="23"/>
      <c r="M45" s="23"/>
      <c r="N45" s="23"/>
      <c r="O45" s="25"/>
      <c r="P45" s="26">
        <f t="shared" si="2"/>
        <v>0</v>
      </c>
      <c r="Q45" s="16"/>
    </row>
    <row r="46" spans="1:17" s="27" customFormat="1" ht="24" x14ac:dyDescent="0.2">
      <c r="A46" s="96"/>
      <c r="B46" s="30"/>
      <c r="C46" s="97"/>
      <c r="D46" s="29" t="s">
        <v>339</v>
      </c>
      <c r="E46" s="23">
        <f t="shared" ref="E46:E49" si="9">F46+I46</f>
        <v>30000</v>
      </c>
      <c r="F46" s="23">
        <f>125000-95000</f>
        <v>30000</v>
      </c>
      <c r="G46" s="23"/>
      <c r="H46" s="23"/>
      <c r="I46" s="25"/>
      <c r="J46" s="103">
        <f t="shared" ref="J46:J48" si="10">L46+O46</f>
        <v>0</v>
      </c>
      <c r="K46" s="23"/>
      <c r="L46" s="23"/>
      <c r="M46" s="23"/>
      <c r="N46" s="23"/>
      <c r="O46" s="25"/>
      <c r="P46" s="26">
        <f t="shared" si="2"/>
        <v>30000</v>
      </c>
      <c r="Q46" s="16"/>
    </row>
    <row r="47" spans="1:17" s="27" customFormat="1" ht="48" x14ac:dyDescent="0.2">
      <c r="A47" s="96"/>
      <c r="B47" s="30"/>
      <c r="C47" s="97"/>
      <c r="D47" s="29" t="s">
        <v>336</v>
      </c>
      <c r="E47" s="23">
        <f t="shared" si="9"/>
        <v>75000</v>
      </c>
      <c r="F47" s="23">
        <v>75000</v>
      </c>
      <c r="G47" s="23"/>
      <c r="H47" s="23"/>
      <c r="I47" s="25"/>
      <c r="J47" s="103">
        <f t="shared" si="10"/>
        <v>0</v>
      </c>
      <c r="K47" s="23"/>
      <c r="L47" s="23"/>
      <c r="M47" s="23"/>
      <c r="N47" s="23"/>
      <c r="O47" s="25"/>
      <c r="P47" s="26">
        <f t="shared" si="2"/>
        <v>75000</v>
      </c>
      <c r="Q47" s="16"/>
    </row>
    <row r="48" spans="1:17" s="27" customFormat="1" ht="36" x14ac:dyDescent="0.2">
      <c r="A48" s="96"/>
      <c r="B48" s="30"/>
      <c r="C48" s="97"/>
      <c r="D48" s="29" t="s">
        <v>461</v>
      </c>
      <c r="E48" s="23">
        <f t="shared" si="9"/>
        <v>85000</v>
      </c>
      <c r="F48" s="23">
        <v>85000</v>
      </c>
      <c r="G48" s="23"/>
      <c r="H48" s="23"/>
      <c r="I48" s="25"/>
      <c r="J48" s="103">
        <f t="shared" si="10"/>
        <v>0</v>
      </c>
      <c r="K48" s="23"/>
      <c r="L48" s="23"/>
      <c r="M48" s="23"/>
      <c r="N48" s="23"/>
      <c r="O48" s="25"/>
      <c r="P48" s="26">
        <f t="shared" si="2"/>
        <v>85000</v>
      </c>
      <c r="Q48" s="16"/>
    </row>
    <row r="49" spans="1:17" s="27" customFormat="1" ht="36" x14ac:dyDescent="0.2">
      <c r="A49" s="96"/>
      <c r="B49" s="30"/>
      <c r="C49" s="97"/>
      <c r="D49" s="29" t="s">
        <v>477</v>
      </c>
      <c r="E49" s="23">
        <f t="shared" si="9"/>
        <v>55800</v>
      </c>
      <c r="F49" s="23">
        <v>55800</v>
      </c>
      <c r="G49" s="23"/>
      <c r="H49" s="23"/>
      <c r="I49" s="25"/>
      <c r="J49" s="103"/>
      <c r="K49" s="23"/>
      <c r="L49" s="23"/>
      <c r="M49" s="23"/>
      <c r="N49" s="23"/>
      <c r="O49" s="25"/>
      <c r="P49" s="26">
        <f t="shared" si="2"/>
        <v>55800</v>
      </c>
      <c r="Q49" s="16"/>
    </row>
    <row r="50" spans="1:17" s="27" customFormat="1" ht="24" x14ac:dyDescent="0.2">
      <c r="A50" s="96" t="s">
        <v>166</v>
      </c>
      <c r="B50" s="97" t="s">
        <v>167</v>
      </c>
      <c r="C50" s="97" t="s">
        <v>56</v>
      </c>
      <c r="D50" s="28" t="s">
        <v>257</v>
      </c>
      <c r="E50" s="23">
        <f t="shared" si="3"/>
        <v>1095600</v>
      </c>
      <c r="F50" s="23">
        <f>F52</f>
        <v>1095600</v>
      </c>
      <c r="G50" s="23">
        <f>G52</f>
        <v>0</v>
      </c>
      <c r="H50" s="23">
        <f>H52</f>
        <v>0</v>
      </c>
      <c r="I50" s="25"/>
      <c r="J50" s="103">
        <f t="shared" si="4"/>
        <v>0</v>
      </c>
      <c r="K50" s="23"/>
      <c r="L50" s="23"/>
      <c r="M50" s="23"/>
      <c r="N50" s="23"/>
      <c r="O50" s="25"/>
      <c r="P50" s="26">
        <f t="shared" si="2"/>
        <v>1095600</v>
      </c>
      <c r="Q50" s="16"/>
    </row>
    <row r="51" spans="1:17" s="27" customFormat="1" ht="12.75" x14ac:dyDescent="0.2">
      <c r="A51" s="96"/>
      <c r="B51" s="97"/>
      <c r="C51" s="97"/>
      <c r="D51" s="2" t="s">
        <v>169</v>
      </c>
      <c r="E51" s="23"/>
      <c r="F51" s="23"/>
      <c r="G51" s="23"/>
      <c r="H51" s="23"/>
      <c r="I51" s="25"/>
      <c r="J51" s="103"/>
      <c r="K51" s="23"/>
      <c r="L51" s="23"/>
      <c r="M51" s="23"/>
      <c r="N51" s="23"/>
      <c r="O51" s="25"/>
      <c r="P51" s="26">
        <f t="shared" si="2"/>
        <v>0</v>
      </c>
      <c r="Q51" s="16"/>
    </row>
    <row r="52" spans="1:17" s="27" customFormat="1" ht="60" x14ac:dyDescent="0.2">
      <c r="A52" s="96"/>
      <c r="B52" s="97"/>
      <c r="C52" s="97"/>
      <c r="D52" s="28" t="s">
        <v>389</v>
      </c>
      <c r="E52" s="23">
        <f t="shared" si="3"/>
        <v>1095600</v>
      </c>
      <c r="F52" s="23">
        <f>745600+350000</f>
        <v>1095600</v>
      </c>
      <c r="G52" s="23"/>
      <c r="H52" s="23"/>
      <c r="I52" s="25"/>
      <c r="J52" s="103">
        <f t="shared" si="4"/>
        <v>0</v>
      </c>
      <c r="K52" s="23"/>
      <c r="L52" s="23"/>
      <c r="M52" s="23"/>
      <c r="N52" s="23"/>
      <c r="O52" s="25"/>
      <c r="P52" s="26">
        <f t="shared" si="2"/>
        <v>1095600</v>
      </c>
      <c r="Q52" s="16"/>
    </row>
    <row r="53" spans="1:17" s="27" customFormat="1" ht="24" x14ac:dyDescent="0.2">
      <c r="A53" s="96" t="s">
        <v>129</v>
      </c>
      <c r="B53" s="97" t="s">
        <v>75</v>
      </c>
      <c r="C53" s="97" t="s">
        <v>56</v>
      </c>
      <c r="D53" s="28" t="s">
        <v>432</v>
      </c>
      <c r="E53" s="23">
        <f t="shared" si="3"/>
        <v>7600000</v>
      </c>
      <c r="F53" s="23">
        <f>6900000+600000+1200000-1100000</f>
        <v>7600000</v>
      </c>
      <c r="G53" s="23"/>
      <c r="H53" s="23"/>
      <c r="I53" s="25"/>
      <c r="J53" s="103">
        <f t="shared" si="4"/>
        <v>0</v>
      </c>
      <c r="K53" s="23"/>
      <c r="L53" s="23"/>
      <c r="M53" s="23"/>
      <c r="N53" s="23"/>
      <c r="O53" s="25"/>
      <c r="P53" s="26">
        <f t="shared" si="2"/>
        <v>7600000</v>
      </c>
      <c r="Q53" s="16"/>
    </row>
    <row r="54" spans="1:17" s="27" customFormat="1" ht="24" x14ac:dyDescent="0.2">
      <c r="A54" s="96" t="s">
        <v>159</v>
      </c>
      <c r="B54" s="97" t="s">
        <v>160</v>
      </c>
      <c r="C54" s="97" t="s">
        <v>161</v>
      </c>
      <c r="D54" s="28" t="s">
        <v>162</v>
      </c>
      <c r="E54" s="23">
        <f t="shared" si="3"/>
        <v>32593000</v>
      </c>
      <c r="F54" s="23">
        <f>F56+F57</f>
        <v>32593000</v>
      </c>
      <c r="G54" s="23">
        <f>G56+G57</f>
        <v>0</v>
      </c>
      <c r="H54" s="23">
        <f>H56+H57</f>
        <v>0</v>
      </c>
      <c r="I54" s="25"/>
      <c r="J54" s="103">
        <f t="shared" si="4"/>
        <v>0</v>
      </c>
      <c r="K54" s="23"/>
      <c r="L54" s="23"/>
      <c r="M54" s="23"/>
      <c r="N54" s="23"/>
      <c r="O54" s="25"/>
      <c r="P54" s="26">
        <f t="shared" si="2"/>
        <v>32593000</v>
      </c>
      <c r="Q54" s="16"/>
    </row>
    <row r="55" spans="1:17" s="27" customFormat="1" ht="12.75" x14ac:dyDescent="0.2">
      <c r="A55" s="96"/>
      <c r="B55" s="97"/>
      <c r="C55" s="97"/>
      <c r="D55" s="2" t="s">
        <v>169</v>
      </c>
      <c r="E55" s="23"/>
      <c r="F55" s="23"/>
      <c r="G55" s="23"/>
      <c r="H55" s="23"/>
      <c r="I55" s="25"/>
      <c r="J55" s="103"/>
      <c r="K55" s="23"/>
      <c r="L55" s="23"/>
      <c r="M55" s="23"/>
      <c r="N55" s="23"/>
      <c r="O55" s="25"/>
      <c r="P55" s="26">
        <f t="shared" si="2"/>
        <v>0</v>
      </c>
      <c r="Q55" s="16"/>
    </row>
    <row r="56" spans="1:17" s="27" customFormat="1" ht="24" x14ac:dyDescent="0.2">
      <c r="A56" s="96"/>
      <c r="B56" s="97"/>
      <c r="C56" s="97"/>
      <c r="D56" s="28" t="s">
        <v>390</v>
      </c>
      <c r="E56" s="23">
        <f>F56+I56</f>
        <v>32093000</v>
      </c>
      <c r="F56" s="23">
        <f>37043000+450000-5400000</f>
        <v>32093000</v>
      </c>
      <c r="G56" s="23"/>
      <c r="H56" s="23"/>
      <c r="I56" s="25"/>
      <c r="J56" s="103">
        <f t="shared" si="4"/>
        <v>0</v>
      </c>
      <c r="K56" s="23"/>
      <c r="L56" s="23"/>
      <c r="M56" s="23"/>
      <c r="N56" s="23"/>
      <c r="O56" s="25"/>
      <c r="P56" s="26">
        <f t="shared" si="2"/>
        <v>32093000</v>
      </c>
      <c r="Q56" s="16"/>
    </row>
    <row r="57" spans="1:17" s="27" customFormat="1" ht="24" x14ac:dyDescent="0.2">
      <c r="A57" s="96"/>
      <c r="B57" s="97"/>
      <c r="C57" s="97"/>
      <c r="D57" s="28" t="s">
        <v>163</v>
      </c>
      <c r="E57" s="23">
        <f t="shared" si="3"/>
        <v>500000</v>
      </c>
      <c r="F57" s="23">
        <v>500000</v>
      </c>
      <c r="G57" s="23"/>
      <c r="H57" s="23"/>
      <c r="I57" s="25"/>
      <c r="J57" s="103">
        <f t="shared" si="4"/>
        <v>0</v>
      </c>
      <c r="K57" s="23"/>
      <c r="L57" s="23"/>
      <c r="M57" s="23"/>
      <c r="N57" s="23"/>
      <c r="O57" s="25"/>
      <c r="P57" s="26">
        <f t="shared" si="2"/>
        <v>500000</v>
      </c>
      <c r="Q57" s="16"/>
    </row>
    <row r="58" spans="1:17" s="27" customFormat="1" ht="12.75" hidden="1" x14ac:dyDescent="0.2">
      <c r="A58" s="96" t="s">
        <v>451</v>
      </c>
      <c r="B58" s="97" t="s">
        <v>452</v>
      </c>
      <c r="C58" s="97" t="s">
        <v>161</v>
      </c>
      <c r="D58" s="28" t="s">
        <v>450</v>
      </c>
      <c r="E58" s="23">
        <f t="shared" si="3"/>
        <v>0</v>
      </c>
      <c r="F58" s="23">
        <f>F59</f>
        <v>0</v>
      </c>
      <c r="G58" s="23"/>
      <c r="H58" s="23"/>
      <c r="I58" s="25"/>
      <c r="J58" s="103"/>
      <c r="K58" s="23"/>
      <c r="L58" s="23"/>
      <c r="M58" s="23"/>
      <c r="N58" s="23"/>
      <c r="O58" s="25"/>
      <c r="P58" s="26">
        <f t="shared" si="2"/>
        <v>0</v>
      </c>
      <c r="Q58" s="16"/>
    </row>
    <row r="59" spans="1:17" s="27" customFormat="1" ht="24" hidden="1" x14ac:dyDescent="0.2">
      <c r="A59" s="96"/>
      <c r="B59" s="97"/>
      <c r="C59" s="97"/>
      <c r="D59" s="31" t="s">
        <v>454</v>
      </c>
      <c r="E59" s="23">
        <f t="shared" si="3"/>
        <v>0</v>
      </c>
      <c r="F59" s="23">
        <f>3632300-1000000-1000000-500000-1000000-132300</f>
        <v>0</v>
      </c>
      <c r="G59" s="23"/>
      <c r="H59" s="23"/>
      <c r="I59" s="25"/>
      <c r="J59" s="103"/>
      <c r="K59" s="23"/>
      <c r="L59" s="23"/>
      <c r="M59" s="23"/>
      <c r="N59" s="23"/>
      <c r="O59" s="25"/>
      <c r="P59" s="26">
        <f t="shared" si="2"/>
        <v>0</v>
      </c>
      <c r="Q59" s="16"/>
    </row>
    <row r="60" spans="1:17" s="27" customFormat="1" ht="24" x14ac:dyDescent="0.2">
      <c r="A60" s="96" t="s">
        <v>164</v>
      </c>
      <c r="B60" s="97" t="s">
        <v>165</v>
      </c>
      <c r="C60" s="97" t="s">
        <v>161</v>
      </c>
      <c r="D60" s="28" t="s">
        <v>173</v>
      </c>
      <c r="E60" s="23">
        <f t="shared" si="3"/>
        <v>1470100</v>
      </c>
      <c r="F60" s="23">
        <f>F62</f>
        <v>1470100</v>
      </c>
      <c r="G60" s="23">
        <f>G62</f>
        <v>0</v>
      </c>
      <c r="H60" s="23">
        <f>H62</f>
        <v>0</v>
      </c>
      <c r="I60" s="25"/>
      <c r="J60" s="103">
        <f>J62</f>
        <v>209900</v>
      </c>
      <c r="K60" s="23">
        <f>K62</f>
        <v>209900</v>
      </c>
      <c r="L60" s="23">
        <f t="shared" ref="L60:O60" si="11">L62</f>
        <v>0</v>
      </c>
      <c r="M60" s="23">
        <f t="shared" si="11"/>
        <v>0</v>
      </c>
      <c r="N60" s="23">
        <f t="shared" si="11"/>
        <v>0</v>
      </c>
      <c r="O60" s="25">
        <f t="shared" si="11"/>
        <v>209900</v>
      </c>
      <c r="P60" s="26">
        <f t="shared" si="2"/>
        <v>1680000</v>
      </c>
      <c r="Q60" s="16"/>
    </row>
    <row r="61" spans="1:17" s="27" customFormat="1" ht="12.75" x14ac:dyDescent="0.2">
      <c r="A61" s="96"/>
      <c r="B61" s="97"/>
      <c r="C61" s="97"/>
      <c r="D61" s="2" t="s">
        <v>169</v>
      </c>
      <c r="E61" s="23"/>
      <c r="F61" s="23"/>
      <c r="G61" s="23"/>
      <c r="H61" s="23"/>
      <c r="I61" s="25"/>
      <c r="J61" s="103"/>
      <c r="K61" s="23"/>
      <c r="L61" s="23"/>
      <c r="M61" s="23"/>
      <c r="N61" s="23"/>
      <c r="O61" s="25"/>
      <c r="P61" s="26">
        <f t="shared" si="2"/>
        <v>0</v>
      </c>
      <c r="Q61" s="16"/>
    </row>
    <row r="62" spans="1:17" s="27" customFormat="1" ht="102.75" customHeight="1" x14ac:dyDescent="0.2">
      <c r="A62" s="96"/>
      <c r="B62" s="97"/>
      <c r="C62" s="97"/>
      <c r="D62" s="2" t="s">
        <v>476</v>
      </c>
      <c r="E62" s="23">
        <f t="shared" si="3"/>
        <v>1470100</v>
      </c>
      <c r="F62" s="23">
        <f>2000000-78900-131000-320000</f>
        <v>1470100</v>
      </c>
      <c r="G62" s="23"/>
      <c r="H62" s="23"/>
      <c r="I62" s="25"/>
      <c r="J62" s="103">
        <f t="shared" si="4"/>
        <v>209900</v>
      </c>
      <c r="K62" s="23">
        <f>78900+131000</f>
        <v>209900</v>
      </c>
      <c r="L62" s="23"/>
      <c r="M62" s="23"/>
      <c r="N62" s="23"/>
      <c r="O62" s="25">
        <f>78900+131000</f>
        <v>209900</v>
      </c>
      <c r="P62" s="26">
        <f t="shared" si="2"/>
        <v>1680000</v>
      </c>
      <c r="Q62" s="16"/>
    </row>
    <row r="63" spans="1:17" s="27" customFormat="1" ht="12.75" x14ac:dyDescent="0.2">
      <c r="A63" s="96" t="s">
        <v>426</v>
      </c>
      <c r="B63" s="97" t="s">
        <v>428</v>
      </c>
      <c r="C63" s="97" t="s">
        <v>161</v>
      </c>
      <c r="D63" s="28" t="s">
        <v>427</v>
      </c>
      <c r="E63" s="23">
        <f t="shared" si="3"/>
        <v>185227060</v>
      </c>
      <c r="F63" s="23">
        <f>F65+F68+F66+F67</f>
        <v>185227060</v>
      </c>
      <c r="G63" s="23">
        <f t="shared" ref="G63:I63" si="12">G65</f>
        <v>0</v>
      </c>
      <c r="H63" s="23">
        <f t="shared" si="12"/>
        <v>0</v>
      </c>
      <c r="I63" s="25">
        <f t="shared" si="12"/>
        <v>0</v>
      </c>
      <c r="J63" s="103">
        <f t="shared" ref="J63:O63" si="13">SUM(J64:J68)</f>
        <v>27292201</v>
      </c>
      <c r="K63" s="23">
        <f t="shared" si="13"/>
        <v>27292201</v>
      </c>
      <c r="L63" s="23">
        <f t="shared" si="13"/>
        <v>0</v>
      </c>
      <c r="M63" s="23">
        <f t="shared" si="13"/>
        <v>0</v>
      </c>
      <c r="N63" s="23">
        <f t="shared" si="13"/>
        <v>0</v>
      </c>
      <c r="O63" s="25">
        <f t="shared" si="13"/>
        <v>27292201</v>
      </c>
      <c r="P63" s="26">
        <f t="shared" si="2"/>
        <v>212519261</v>
      </c>
      <c r="Q63" s="16"/>
    </row>
    <row r="64" spans="1:17" s="27" customFormat="1" ht="12" customHeight="1" x14ac:dyDescent="0.2">
      <c r="A64" s="96"/>
      <c r="B64" s="97"/>
      <c r="C64" s="97"/>
      <c r="D64" s="2" t="s">
        <v>169</v>
      </c>
      <c r="E64" s="23">
        <f t="shared" si="3"/>
        <v>0</v>
      </c>
      <c r="F64" s="23"/>
      <c r="G64" s="23"/>
      <c r="H64" s="23"/>
      <c r="I64" s="25"/>
      <c r="J64" s="103">
        <f t="shared" si="4"/>
        <v>0</v>
      </c>
      <c r="K64" s="23"/>
      <c r="L64" s="23"/>
      <c r="M64" s="23"/>
      <c r="N64" s="23"/>
      <c r="O64" s="25"/>
      <c r="P64" s="26">
        <f t="shared" si="2"/>
        <v>0</v>
      </c>
      <c r="Q64" s="16"/>
    </row>
    <row r="65" spans="1:18" s="27" customFormat="1" ht="102" customHeight="1" x14ac:dyDescent="0.2">
      <c r="A65" s="96"/>
      <c r="B65" s="97"/>
      <c r="C65" s="97"/>
      <c r="D65" s="2" t="s">
        <v>476</v>
      </c>
      <c r="E65" s="23">
        <f t="shared" si="3"/>
        <v>181840000</v>
      </c>
      <c r="F65" s="32">
        <f>267000000-1100000-160000-5000000-1000000-2000000-8900000-43000000-24000000</f>
        <v>181840000</v>
      </c>
      <c r="G65" s="23"/>
      <c r="H65" s="23"/>
      <c r="I65" s="25"/>
      <c r="J65" s="103">
        <f t="shared" si="4"/>
        <v>24003761</v>
      </c>
      <c r="K65" s="23">
        <f>30500500-1299700-3500000-1697039</f>
        <v>24003761</v>
      </c>
      <c r="L65" s="23"/>
      <c r="M65" s="23"/>
      <c r="N65" s="23"/>
      <c r="O65" s="25">
        <f>30500500-1299700-3500000-1697039</f>
        <v>24003761</v>
      </c>
      <c r="P65" s="26">
        <f t="shared" si="2"/>
        <v>205843761</v>
      </c>
      <c r="Q65" s="16"/>
    </row>
    <row r="66" spans="1:18" s="27" customFormat="1" ht="36" x14ac:dyDescent="0.2">
      <c r="A66" s="96"/>
      <c r="B66" s="97"/>
      <c r="C66" s="97"/>
      <c r="D66" s="2" t="s">
        <v>306</v>
      </c>
      <c r="E66" s="23">
        <f t="shared" si="3"/>
        <v>2507260</v>
      </c>
      <c r="F66" s="23">
        <f>2527260-20000</f>
        <v>2507260</v>
      </c>
      <c r="G66" s="23"/>
      <c r="H66" s="23"/>
      <c r="I66" s="25"/>
      <c r="J66" s="103">
        <f t="shared" si="4"/>
        <v>1636440</v>
      </c>
      <c r="K66" s="23">
        <f>100000+1536440</f>
        <v>1636440</v>
      </c>
      <c r="L66" s="23"/>
      <c r="M66" s="23"/>
      <c r="N66" s="23"/>
      <c r="O66" s="25">
        <f>100000+1536440</f>
        <v>1636440</v>
      </c>
      <c r="P66" s="26">
        <f t="shared" si="2"/>
        <v>4143700</v>
      </c>
      <c r="Q66" s="16"/>
    </row>
    <row r="67" spans="1:18" s="27" customFormat="1" ht="36" x14ac:dyDescent="0.2">
      <c r="A67" s="96"/>
      <c r="B67" s="97"/>
      <c r="C67" s="97"/>
      <c r="D67" s="2" t="s">
        <v>542</v>
      </c>
      <c r="E67" s="23">
        <f t="shared" si="3"/>
        <v>879800</v>
      </c>
      <c r="F67" s="23">
        <f>2811800-407000-1182000-63000-280000</f>
        <v>879800</v>
      </c>
      <c r="G67" s="23"/>
      <c r="H67" s="23"/>
      <c r="I67" s="25"/>
      <c r="J67" s="103">
        <f t="shared" si="4"/>
        <v>1652000</v>
      </c>
      <c r="K67" s="23">
        <f>1652000</f>
        <v>1652000</v>
      </c>
      <c r="L67" s="23"/>
      <c r="M67" s="23"/>
      <c r="N67" s="23"/>
      <c r="O67" s="25">
        <f>1652000</f>
        <v>1652000</v>
      </c>
      <c r="P67" s="26">
        <f t="shared" si="2"/>
        <v>2531800</v>
      </c>
      <c r="Q67" s="16"/>
    </row>
    <row r="68" spans="1:18" s="27" customFormat="1" ht="36" hidden="1" x14ac:dyDescent="0.2">
      <c r="A68" s="96"/>
      <c r="B68" s="97"/>
      <c r="C68" s="97"/>
      <c r="D68" s="1" t="s">
        <v>453</v>
      </c>
      <c r="E68" s="23">
        <f t="shared" si="3"/>
        <v>0</v>
      </c>
      <c r="F68" s="23">
        <f>1500000-1500000</f>
        <v>0</v>
      </c>
      <c r="G68" s="23"/>
      <c r="H68" s="23"/>
      <c r="I68" s="25"/>
      <c r="J68" s="103">
        <f t="shared" si="4"/>
        <v>0</v>
      </c>
      <c r="K68" s="23"/>
      <c r="L68" s="23"/>
      <c r="M68" s="23"/>
      <c r="N68" s="23"/>
      <c r="O68" s="25"/>
      <c r="P68" s="26">
        <f t="shared" si="2"/>
        <v>0</v>
      </c>
      <c r="Q68" s="16"/>
    </row>
    <row r="69" spans="1:18" s="27" customFormat="1" ht="48" x14ac:dyDescent="0.2">
      <c r="A69" s="96" t="s">
        <v>532</v>
      </c>
      <c r="B69" s="97" t="s">
        <v>533</v>
      </c>
      <c r="C69" s="97" t="s">
        <v>458</v>
      </c>
      <c r="D69" s="1" t="s">
        <v>536</v>
      </c>
      <c r="E69" s="23">
        <f t="shared" si="3"/>
        <v>1205000</v>
      </c>
      <c r="F69" s="23">
        <f>1205000+400000-400000</f>
        <v>1205000</v>
      </c>
      <c r="G69" s="23"/>
      <c r="H69" s="23"/>
      <c r="I69" s="25"/>
      <c r="J69" s="103">
        <f t="shared" si="4"/>
        <v>0</v>
      </c>
      <c r="K69" s="23"/>
      <c r="L69" s="23"/>
      <c r="M69" s="23"/>
      <c r="N69" s="23"/>
      <c r="O69" s="25"/>
      <c r="P69" s="26">
        <f t="shared" si="2"/>
        <v>1205000</v>
      </c>
      <c r="Q69" s="16"/>
    </row>
    <row r="70" spans="1:18" s="27" customFormat="1" ht="24" customHeight="1" x14ac:dyDescent="0.2">
      <c r="A70" s="96" t="s">
        <v>534</v>
      </c>
      <c r="B70" s="97" t="s">
        <v>535</v>
      </c>
      <c r="C70" s="97" t="s">
        <v>15</v>
      </c>
      <c r="D70" s="1" t="s">
        <v>537</v>
      </c>
      <c r="E70" s="23">
        <f t="shared" si="3"/>
        <v>746650</v>
      </c>
      <c r="F70" s="23">
        <f>396750+49900+150000+350000-200000</f>
        <v>746650</v>
      </c>
      <c r="G70" s="23"/>
      <c r="H70" s="23"/>
      <c r="I70" s="25"/>
      <c r="J70" s="103">
        <f t="shared" si="4"/>
        <v>0</v>
      </c>
      <c r="K70" s="23"/>
      <c r="L70" s="23"/>
      <c r="M70" s="23"/>
      <c r="N70" s="23"/>
      <c r="O70" s="25"/>
      <c r="P70" s="26">
        <f t="shared" si="2"/>
        <v>746650</v>
      </c>
      <c r="Q70" s="16"/>
    </row>
    <row r="71" spans="1:18" s="17" customFormat="1" ht="25.5" x14ac:dyDescent="0.2">
      <c r="A71" s="33" t="s">
        <v>102</v>
      </c>
      <c r="B71" s="19"/>
      <c r="C71" s="19"/>
      <c r="D71" s="20" t="s">
        <v>297</v>
      </c>
      <c r="E71" s="21">
        <f>E73+E77+E81+E90+E93+E94+E96+E101+E102+E119+E121+E122+E103+E107+E111+E74+E100+E113+E114+E115+E116+E120+E117+E123+E124+E118+E112</f>
        <v>2152389512</v>
      </c>
      <c r="F71" s="21">
        <f>F73+F77+F81+F90+F93+F94+F96+F101+F102+F119+F121+F122+F103+F107+F111+F74+F100+F113+F114+F115+F116+F120+F117+F123+F124+F118+F112</f>
        <v>2152389512</v>
      </c>
      <c r="G71" s="21">
        <f t="shared" ref="G71:H71" si="14">G73+G77+G81+G90+G93+G94+G96+G101+G102+G119+G121+G122+G103+G107+G111+G74+G100+G113+G114+G115+G116+G120+G117+G123+G124+G118+G112</f>
        <v>1273787385</v>
      </c>
      <c r="H71" s="21">
        <f t="shared" si="14"/>
        <v>259479333</v>
      </c>
      <c r="I71" s="21">
        <f t="shared" ref="I71" si="15">I73+I77+I81+I90+I93+I94+I96+I101+I102+I119+I121+I122+I103+I107+I111+I74+I100+I113+I114+I115+I116+I120+I117+I123+I124+I118</f>
        <v>0</v>
      </c>
      <c r="J71" s="104">
        <f>J73+J77+J81+J90+J94+J96+J101+J102+J119+J121+J122+J103+J107+J111+J74+J100+J113+J114+J115+J116+J120+J117+J123+J124+J112+J118</f>
        <v>150031948</v>
      </c>
      <c r="K71" s="21">
        <f t="shared" ref="K71:O71" si="16">K73+K77+K81+K90+K94+K96+K101+K102+K119+K121+K122+K103+K107+K111+K74+K100+K113+K114+K115+K116+K120+K117+K123+K124+K112+K118</f>
        <v>31247975</v>
      </c>
      <c r="L71" s="21">
        <f t="shared" si="16"/>
        <v>116795919</v>
      </c>
      <c r="M71" s="21">
        <f t="shared" si="16"/>
        <v>9279800</v>
      </c>
      <c r="N71" s="21">
        <f t="shared" si="16"/>
        <v>6609500</v>
      </c>
      <c r="O71" s="22">
        <f t="shared" si="16"/>
        <v>33236029</v>
      </c>
      <c r="P71" s="24">
        <f>E71+J71</f>
        <v>2302421460</v>
      </c>
      <c r="Q71" s="16"/>
    </row>
    <row r="72" spans="1:18" s="17" customFormat="1" ht="25.5" x14ac:dyDescent="0.2">
      <c r="A72" s="33" t="s">
        <v>130</v>
      </c>
      <c r="B72" s="19"/>
      <c r="C72" s="19"/>
      <c r="D72" s="20" t="s">
        <v>297</v>
      </c>
      <c r="E72" s="21"/>
      <c r="F72" s="21"/>
      <c r="G72" s="21"/>
      <c r="H72" s="21"/>
      <c r="I72" s="22"/>
      <c r="J72" s="103"/>
      <c r="K72" s="23"/>
      <c r="L72" s="21"/>
      <c r="M72" s="21"/>
      <c r="N72" s="21"/>
      <c r="O72" s="22"/>
      <c r="P72" s="24">
        <f t="shared" si="1"/>
        <v>0</v>
      </c>
      <c r="Q72" s="16"/>
    </row>
    <row r="73" spans="1:18" s="27" customFormat="1" ht="36" x14ac:dyDescent="0.2">
      <c r="A73" s="96" t="s">
        <v>131</v>
      </c>
      <c r="B73" s="97" t="s">
        <v>59</v>
      </c>
      <c r="C73" s="97" t="s">
        <v>22</v>
      </c>
      <c r="D73" s="2" t="s">
        <v>412</v>
      </c>
      <c r="E73" s="23">
        <f>F73+I73</f>
        <v>7883800</v>
      </c>
      <c r="F73" s="23">
        <f>7250000+623800+10000</f>
        <v>7883800</v>
      </c>
      <c r="G73" s="23">
        <f>5706940+497800+10000+13000</f>
        <v>6227740</v>
      </c>
      <c r="H73" s="23"/>
      <c r="I73" s="25"/>
      <c r="J73" s="103">
        <f>L73+O73</f>
        <v>0</v>
      </c>
      <c r="K73" s="23"/>
      <c r="L73" s="23"/>
      <c r="M73" s="23"/>
      <c r="N73" s="23"/>
      <c r="O73" s="25"/>
      <c r="P73" s="26">
        <f t="shared" si="1"/>
        <v>7883800</v>
      </c>
      <c r="Q73" s="16"/>
    </row>
    <row r="74" spans="1:18" s="27" customFormat="1" ht="12.75" x14ac:dyDescent="0.2">
      <c r="A74" s="96" t="s">
        <v>386</v>
      </c>
      <c r="B74" s="97" t="s">
        <v>14</v>
      </c>
      <c r="C74" s="97" t="s">
        <v>15</v>
      </c>
      <c r="D74" s="2" t="s">
        <v>156</v>
      </c>
      <c r="E74" s="23">
        <f t="shared" ref="E74:E80" si="17">F74+I74</f>
        <v>785342</v>
      </c>
      <c r="F74" s="23">
        <f>F76</f>
        <v>785342</v>
      </c>
      <c r="G74" s="23"/>
      <c r="H74" s="23"/>
      <c r="I74" s="25"/>
      <c r="J74" s="103"/>
      <c r="K74" s="23"/>
      <c r="L74" s="23"/>
      <c r="M74" s="23"/>
      <c r="N74" s="23"/>
      <c r="O74" s="25"/>
      <c r="P74" s="26">
        <f t="shared" si="1"/>
        <v>785342</v>
      </c>
      <c r="Q74" s="16"/>
    </row>
    <row r="75" spans="1:18" s="27" customFormat="1" ht="12.75" x14ac:dyDescent="0.2">
      <c r="A75" s="96"/>
      <c r="B75" s="97"/>
      <c r="C75" s="97"/>
      <c r="D75" s="2" t="s">
        <v>169</v>
      </c>
      <c r="E75" s="23"/>
      <c r="F75" s="23"/>
      <c r="G75" s="23"/>
      <c r="H75" s="23"/>
      <c r="I75" s="25"/>
      <c r="J75" s="103"/>
      <c r="K75" s="23"/>
      <c r="L75" s="23"/>
      <c r="M75" s="23"/>
      <c r="N75" s="23"/>
      <c r="O75" s="25"/>
      <c r="P75" s="26">
        <f t="shared" si="1"/>
        <v>0</v>
      </c>
      <c r="Q75" s="16"/>
    </row>
    <row r="76" spans="1:18" s="27" customFormat="1" ht="48" x14ac:dyDescent="0.2">
      <c r="A76" s="96"/>
      <c r="B76" s="97"/>
      <c r="C76" s="97"/>
      <c r="D76" s="2" t="s">
        <v>387</v>
      </c>
      <c r="E76" s="23">
        <f t="shared" si="17"/>
        <v>785342</v>
      </c>
      <c r="F76" s="23">
        <v>785342</v>
      </c>
      <c r="G76" s="23"/>
      <c r="H76" s="23"/>
      <c r="I76" s="25"/>
      <c r="J76" s="103"/>
      <c r="K76" s="23"/>
      <c r="L76" s="23"/>
      <c r="M76" s="23"/>
      <c r="N76" s="23"/>
      <c r="O76" s="25"/>
      <c r="P76" s="26">
        <f t="shared" si="1"/>
        <v>785342</v>
      </c>
      <c r="Q76" s="16"/>
    </row>
    <row r="77" spans="1:18" s="27" customFormat="1" ht="12.75" x14ac:dyDescent="0.2">
      <c r="A77" s="96" t="s">
        <v>132</v>
      </c>
      <c r="B77" s="97">
        <v>1010</v>
      </c>
      <c r="C77" s="97" t="s">
        <v>29</v>
      </c>
      <c r="D77" s="2" t="s">
        <v>77</v>
      </c>
      <c r="E77" s="23">
        <f t="shared" si="17"/>
        <v>515958504</v>
      </c>
      <c r="F77" s="23">
        <v>515958504</v>
      </c>
      <c r="G77" s="23">
        <v>316253543</v>
      </c>
      <c r="H77" s="23">
        <v>77187075</v>
      </c>
      <c r="I77" s="25"/>
      <c r="J77" s="103">
        <f>L77+O77</f>
        <v>48824837</v>
      </c>
      <c r="K77" s="23">
        <f>6114484+101500-1435447</f>
        <v>4780537</v>
      </c>
      <c r="L77" s="23">
        <v>44044300</v>
      </c>
      <c r="M77" s="23">
        <v>0</v>
      </c>
      <c r="N77" s="23">
        <v>0</v>
      </c>
      <c r="O77" s="25">
        <f>6114484+101500-1435447</f>
        <v>4780537</v>
      </c>
      <c r="P77" s="26">
        <f t="shared" si="1"/>
        <v>564783341</v>
      </c>
      <c r="Q77" s="16"/>
      <c r="R77" s="34"/>
    </row>
    <row r="78" spans="1:18" s="27" customFormat="1" ht="105" customHeight="1" x14ac:dyDescent="0.2">
      <c r="A78" s="96"/>
      <c r="B78" s="97"/>
      <c r="C78" s="97"/>
      <c r="D78" s="35" t="s">
        <v>479</v>
      </c>
      <c r="E78" s="23">
        <f t="shared" si="17"/>
        <v>80000</v>
      </c>
      <c r="F78" s="23">
        <v>80000</v>
      </c>
      <c r="G78" s="23"/>
      <c r="H78" s="23"/>
      <c r="I78" s="25">
        <v>0</v>
      </c>
      <c r="J78" s="103"/>
      <c r="K78" s="23"/>
      <c r="L78" s="23"/>
      <c r="M78" s="23"/>
      <c r="N78" s="23"/>
      <c r="O78" s="25"/>
      <c r="P78" s="26">
        <f t="shared" si="1"/>
        <v>80000</v>
      </c>
      <c r="Q78" s="16"/>
      <c r="R78" s="34"/>
    </row>
    <row r="79" spans="1:18" s="27" customFormat="1" ht="72" x14ac:dyDescent="0.2">
      <c r="A79" s="96"/>
      <c r="B79" s="97"/>
      <c r="C79" s="97"/>
      <c r="D79" s="35" t="s">
        <v>480</v>
      </c>
      <c r="E79" s="23">
        <f t="shared" si="17"/>
        <v>50000</v>
      </c>
      <c r="F79" s="23">
        <v>50000</v>
      </c>
      <c r="G79" s="23"/>
      <c r="H79" s="23"/>
      <c r="I79" s="25">
        <v>0</v>
      </c>
      <c r="J79" s="103"/>
      <c r="K79" s="23"/>
      <c r="L79" s="23"/>
      <c r="M79" s="23"/>
      <c r="N79" s="23"/>
      <c r="O79" s="25"/>
      <c r="P79" s="26">
        <f t="shared" si="1"/>
        <v>50000</v>
      </c>
      <c r="Q79" s="16"/>
      <c r="R79" s="34"/>
    </row>
    <row r="80" spans="1:18" s="27" customFormat="1" ht="24" x14ac:dyDescent="0.2">
      <c r="A80" s="96"/>
      <c r="B80" s="97"/>
      <c r="C80" s="97"/>
      <c r="D80" s="35" t="s">
        <v>629</v>
      </c>
      <c r="E80" s="23">
        <f t="shared" si="17"/>
        <v>60000</v>
      </c>
      <c r="F80" s="23">
        <v>60000</v>
      </c>
      <c r="G80" s="23"/>
      <c r="H80" s="23">
        <v>60000</v>
      </c>
      <c r="I80" s="25">
        <v>0</v>
      </c>
      <c r="J80" s="103"/>
      <c r="K80" s="23"/>
      <c r="L80" s="23"/>
      <c r="M80" s="23"/>
      <c r="N80" s="23"/>
      <c r="O80" s="25"/>
      <c r="P80" s="26">
        <f t="shared" si="1"/>
        <v>60000</v>
      </c>
      <c r="Q80" s="16"/>
      <c r="R80" s="34"/>
    </row>
    <row r="81" spans="1:19" s="27" customFormat="1" ht="24" x14ac:dyDescent="0.2">
      <c r="A81" s="96" t="s">
        <v>133</v>
      </c>
      <c r="B81" s="97">
        <v>1020</v>
      </c>
      <c r="C81" s="97"/>
      <c r="D81" s="2" t="s">
        <v>385</v>
      </c>
      <c r="E81" s="23">
        <f t="shared" ref="E81:E90" si="18">F81+I81</f>
        <v>509099061</v>
      </c>
      <c r="F81" s="23">
        <f>F82+F89</f>
        <v>509099061</v>
      </c>
      <c r="G81" s="23">
        <f>G82+G89</f>
        <v>169972725</v>
      </c>
      <c r="H81" s="23">
        <f>H82+H89</f>
        <v>125230633</v>
      </c>
      <c r="I81" s="25">
        <f>I82+I89</f>
        <v>0</v>
      </c>
      <c r="J81" s="103">
        <f>L81+O81</f>
        <v>18172367</v>
      </c>
      <c r="K81" s="23">
        <f>K82+K89</f>
        <v>16405467</v>
      </c>
      <c r="L81" s="23">
        <f>L82+L89</f>
        <v>1766900</v>
      </c>
      <c r="M81" s="23">
        <f>M82+M89</f>
        <v>32300</v>
      </c>
      <c r="N81" s="23">
        <f>N82+N89</f>
        <v>0</v>
      </c>
      <c r="O81" s="25">
        <f>O82+O89</f>
        <v>16405467</v>
      </c>
      <c r="P81" s="26">
        <f t="shared" si="1"/>
        <v>527271428</v>
      </c>
      <c r="Q81" s="16"/>
      <c r="R81" s="36"/>
    </row>
    <row r="82" spans="1:19" s="27" customFormat="1" ht="36" x14ac:dyDescent="0.2">
      <c r="A82" s="96" t="s">
        <v>346</v>
      </c>
      <c r="B82" s="97">
        <v>1021</v>
      </c>
      <c r="C82" s="97" t="s">
        <v>30</v>
      </c>
      <c r="D82" s="2" t="s">
        <v>468</v>
      </c>
      <c r="E82" s="23">
        <f>F82</f>
        <v>491315526</v>
      </c>
      <c r="F82" s="23">
        <f>491730526-415000</f>
        <v>491315526</v>
      </c>
      <c r="G82" s="23">
        <f>161620625-100</f>
        <v>161620525</v>
      </c>
      <c r="H82" s="23">
        <v>122093633</v>
      </c>
      <c r="I82" s="25">
        <v>0</v>
      </c>
      <c r="J82" s="103">
        <f>L82+O82</f>
        <v>17193518</v>
      </c>
      <c r="K82" s="23">
        <f>15596317+171967-341666</f>
        <v>15426618</v>
      </c>
      <c r="L82" s="23">
        <v>1766900</v>
      </c>
      <c r="M82" s="23">
        <v>32300</v>
      </c>
      <c r="N82" s="23"/>
      <c r="O82" s="25">
        <f>15596317+171967-341666</f>
        <v>15426618</v>
      </c>
      <c r="P82" s="26">
        <f t="shared" si="1"/>
        <v>508509044</v>
      </c>
      <c r="Q82" s="16"/>
      <c r="R82" s="37"/>
    </row>
    <row r="83" spans="1:19" s="27" customFormat="1" ht="79.5" customHeight="1" x14ac:dyDescent="0.2">
      <c r="A83" s="96"/>
      <c r="B83" s="97"/>
      <c r="C83" s="97"/>
      <c r="D83" s="35" t="s">
        <v>481</v>
      </c>
      <c r="E83" s="23">
        <f t="shared" ref="E83:E87" si="19">F83</f>
        <v>25000</v>
      </c>
      <c r="F83" s="23">
        <v>25000</v>
      </c>
      <c r="G83" s="23"/>
      <c r="H83" s="23"/>
      <c r="I83" s="25">
        <v>0</v>
      </c>
      <c r="J83" s="103">
        <f t="shared" ref="J83:J102" si="20">L83+O83</f>
        <v>0</v>
      </c>
      <c r="K83" s="23"/>
      <c r="L83" s="23"/>
      <c r="M83" s="23"/>
      <c r="N83" s="23"/>
      <c r="O83" s="25"/>
      <c r="P83" s="26">
        <f t="shared" si="1"/>
        <v>25000</v>
      </c>
      <c r="Q83" s="16"/>
      <c r="R83" s="37"/>
    </row>
    <row r="84" spans="1:19" s="27" customFormat="1" ht="54.75" customHeight="1" x14ac:dyDescent="0.2">
      <c r="A84" s="96"/>
      <c r="B84" s="97"/>
      <c r="C84" s="97"/>
      <c r="D84" s="35" t="s">
        <v>502</v>
      </c>
      <c r="E84" s="23">
        <f t="shared" si="19"/>
        <v>80000</v>
      </c>
      <c r="F84" s="23">
        <v>80000</v>
      </c>
      <c r="G84" s="23"/>
      <c r="H84" s="23"/>
      <c r="I84" s="25"/>
      <c r="J84" s="103">
        <f t="shared" si="20"/>
        <v>0</v>
      </c>
      <c r="K84" s="23">
        <f>80000-80000</f>
        <v>0</v>
      </c>
      <c r="L84" s="23"/>
      <c r="M84" s="23"/>
      <c r="N84" s="23"/>
      <c r="O84" s="25">
        <f>80000-80000</f>
        <v>0</v>
      </c>
      <c r="P84" s="26">
        <f t="shared" si="1"/>
        <v>80000</v>
      </c>
      <c r="Q84" s="16"/>
      <c r="R84" s="37"/>
    </row>
    <row r="85" spans="1:19" s="27" customFormat="1" ht="36" x14ac:dyDescent="0.2">
      <c r="A85" s="96"/>
      <c r="B85" s="97"/>
      <c r="C85" s="97"/>
      <c r="D85" s="35" t="s">
        <v>615</v>
      </c>
      <c r="E85" s="23">
        <f t="shared" si="19"/>
        <v>89000</v>
      </c>
      <c r="F85" s="23">
        <f>89000</f>
        <v>89000</v>
      </c>
      <c r="G85" s="23"/>
      <c r="H85" s="23"/>
      <c r="I85" s="25"/>
      <c r="J85" s="103"/>
      <c r="K85" s="23"/>
      <c r="L85" s="23"/>
      <c r="M85" s="23"/>
      <c r="N85" s="23"/>
      <c r="O85" s="25"/>
      <c r="P85" s="26">
        <f t="shared" si="1"/>
        <v>89000</v>
      </c>
      <c r="Q85" s="16"/>
      <c r="R85" s="37"/>
    </row>
    <row r="86" spans="1:19" s="27" customFormat="1" ht="36" x14ac:dyDescent="0.2">
      <c r="A86" s="96"/>
      <c r="B86" s="97"/>
      <c r="C86" s="97"/>
      <c r="D86" s="35" t="s">
        <v>503</v>
      </c>
      <c r="E86" s="23">
        <f t="shared" si="19"/>
        <v>0</v>
      </c>
      <c r="F86" s="23"/>
      <c r="G86" s="23"/>
      <c r="H86" s="23"/>
      <c r="I86" s="25"/>
      <c r="J86" s="103">
        <f t="shared" si="20"/>
        <v>530000</v>
      </c>
      <c r="K86" s="23">
        <f>400000+130000</f>
        <v>530000</v>
      </c>
      <c r="L86" s="23"/>
      <c r="M86" s="23"/>
      <c r="N86" s="23"/>
      <c r="O86" s="25">
        <f>400000+130000</f>
        <v>530000</v>
      </c>
      <c r="P86" s="26">
        <f t="shared" si="1"/>
        <v>530000</v>
      </c>
      <c r="Q86" s="16"/>
      <c r="R86" s="37"/>
    </row>
    <row r="87" spans="1:19" s="27" customFormat="1" ht="60" x14ac:dyDescent="0.2">
      <c r="A87" s="96"/>
      <c r="B87" s="97"/>
      <c r="C87" s="97"/>
      <c r="D87" s="35" t="s">
        <v>482</v>
      </c>
      <c r="E87" s="23">
        <f t="shared" si="19"/>
        <v>615529</v>
      </c>
      <c r="F87" s="23">
        <f>310529+165000+140000</f>
        <v>615529</v>
      </c>
      <c r="G87" s="23"/>
      <c r="H87" s="23"/>
      <c r="I87" s="25">
        <v>0</v>
      </c>
      <c r="J87" s="103"/>
      <c r="K87" s="23"/>
      <c r="L87" s="23"/>
      <c r="M87" s="23"/>
      <c r="N87" s="23"/>
      <c r="O87" s="25"/>
      <c r="P87" s="26">
        <f t="shared" si="1"/>
        <v>615529</v>
      </c>
      <c r="Q87" s="16"/>
      <c r="R87" s="37"/>
    </row>
    <row r="88" spans="1:19" s="27" customFormat="1" ht="24" x14ac:dyDescent="0.2">
      <c r="A88" s="96"/>
      <c r="B88" s="97"/>
      <c r="C88" s="97"/>
      <c r="D88" s="35" t="s">
        <v>629</v>
      </c>
      <c r="E88" s="23">
        <f>F88+I88</f>
        <v>254428</v>
      </c>
      <c r="F88" s="23">
        <v>254428</v>
      </c>
      <c r="G88" s="23"/>
      <c r="H88" s="23">
        <v>254428</v>
      </c>
      <c r="I88" s="25"/>
      <c r="J88" s="103"/>
      <c r="K88" s="23"/>
      <c r="L88" s="23"/>
      <c r="M88" s="23"/>
      <c r="N88" s="23"/>
      <c r="O88" s="25"/>
      <c r="P88" s="26">
        <f t="shared" si="1"/>
        <v>254428</v>
      </c>
      <c r="Q88" s="16"/>
      <c r="R88" s="37"/>
    </row>
    <row r="89" spans="1:19" s="27" customFormat="1" ht="74.25" customHeight="1" x14ac:dyDescent="0.2">
      <c r="A89" s="96" t="s">
        <v>347</v>
      </c>
      <c r="B89" s="97" t="s">
        <v>348</v>
      </c>
      <c r="C89" s="97" t="s">
        <v>31</v>
      </c>
      <c r="D89" s="38" t="s">
        <v>565</v>
      </c>
      <c r="E89" s="23">
        <f>F89+I89</f>
        <v>17783535</v>
      </c>
      <c r="F89" s="23">
        <v>17783535</v>
      </c>
      <c r="G89" s="23">
        <v>8352200</v>
      </c>
      <c r="H89" s="23">
        <v>3137000</v>
      </c>
      <c r="I89" s="25"/>
      <c r="J89" s="103">
        <f t="shared" si="20"/>
        <v>978849</v>
      </c>
      <c r="K89" s="23">
        <v>978849</v>
      </c>
      <c r="L89" s="23"/>
      <c r="M89" s="23"/>
      <c r="N89" s="23"/>
      <c r="O89" s="25">
        <f>978849</f>
        <v>978849</v>
      </c>
      <c r="P89" s="26">
        <f t="shared" si="1"/>
        <v>18762384</v>
      </c>
      <c r="Q89" s="16"/>
    </row>
    <row r="90" spans="1:19" s="27" customFormat="1" ht="24" x14ac:dyDescent="0.2">
      <c r="A90" s="96" t="s">
        <v>349</v>
      </c>
      <c r="B90" s="97" t="s">
        <v>45</v>
      </c>
      <c r="C90" s="97"/>
      <c r="D90" s="2" t="s">
        <v>350</v>
      </c>
      <c r="E90" s="23">
        <f t="shared" si="18"/>
        <v>666904276</v>
      </c>
      <c r="F90" s="23">
        <f>F91+F92</f>
        <v>666904276</v>
      </c>
      <c r="G90" s="23">
        <f t="shared" ref="G90:I90" si="21">G91+G92</f>
        <v>557263974</v>
      </c>
      <c r="H90" s="23">
        <f t="shared" si="21"/>
        <v>0</v>
      </c>
      <c r="I90" s="25">
        <f t="shared" si="21"/>
        <v>0</v>
      </c>
      <c r="J90" s="103">
        <f t="shared" si="20"/>
        <v>0</v>
      </c>
      <c r="K90" s="23"/>
      <c r="L90" s="23"/>
      <c r="M90" s="23"/>
      <c r="N90" s="23"/>
      <c r="O90" s="25"/>
      <c r="P90" s="26">
        <f t="shared" si="1"/>
        <v>666904276</v>
      </c>
      <c r="Q90" s="16"/>
      <c r="S90" s="39"/>
    </row>
    <row r="91" spans="1:19" s="27" customFormat="1" ht="36" x14ac:dyDescent="0.2">
      <c r="A91" s="96" t="s">
        <v>351</v>
      </c>
      <c r="B91" s="97" t="s">
        <v>352</v>
      </c>
      <c r="C91" s="97" t="s">
        <v>30</v>
      </c>
      <c r="D91" s="2" t="s">
        <v>469</v>
      </c>
      <c r="E91" s="23">
        <f>F91+I91</f>
        <v>652473339</v>
      </c>
      <c r="F91" s="23">
        <v>652473339</v>
      </c>
      <c r="G91" s="23">
        <v>544871157</v>
      </c>
      <c r="H91" s="23"/>
      <c r="I91" s="25"/>
      <c r="J91" s="103"/>
      <c r="K91" s="23"/>
      <c r="L91" s="23"/>
      <c r="M91" s="23"/>
      <c r="N91" s="23"/>
      <c r="O91" s="25"/>
      <c r="P91" s="26">
        <f t="shared" si="1"/>
        <v>652473339</v>
      </c>
      <c r="Q91" s="16"/>
      <c r="S91" s="39"/>
    </row>
    <row r="92" spans="1:19" s="27" customFormat="1" ht="60" x14ac:dyDescent="0.2">
      <c r="A92" s="96" t="s">
        <v>442</v>
      </c>
      <c r="B92" s="97" t="s">
        <v>353</v>
      </c>
      <c r="C92" s="97" t="s">
        <v>31</v>
      </c>
      <c r="D92" s="38" t="s">
        <v>470</v>
      </c>
      <c r="E92" s="23">
        <f>F92+I92</f>
        <v>14430937</v>
      </c>
      <c r="F92" s="23">
        <v>14430937</v>
      </c>
      <c r="G92" s="23">
        <v>12392817</v>
      </c>
      <c r="H92" s="23"/>
      <c r="I92" s="25"/>
      <c r="J92" s="103">
        <f t="shared" si="20"/>
        <v>0</v>
      </c>
      <c r="K92" s="23"/>
      <c r="L92" s="23"/>
      <c r="M92" s="23"/>
      <c r="N92" s="23"/>
      <c r="O92" s="25"/>
      <c r="P92" s="26">
        <f t="shared" si="1"/>
        <v>14430937</v>
      </c>
      <c r="Q92" s="16"/>
    </row>
    <row r="93" spans="1:19" s="27" customFormat="1" ht="135.75" customHeight="1" x14ac:dyDescent="0.2">
      <c r="A93" s="96" t="s">
        <v>637</v>
      </c>
      <c r="B93" s="97" t="s">
        <v>638</v>
      </c>
      <c r="C93" s="97" t="s">
        <v>30</v>
      </c>
      <c r="D93" s="98" t="s">
        <v>639</v>
      </c>
      <c r="E93" s="23">
        <f>F93+I93</f>
        <v>427600</v>
      </c>
      <c r="F93" s="23">
        <v>427600</v>
      </c>
      <c r="G93" s="23">
        <v>350500</v>
      </c>
      <c r="H93" s="23"/>
      <c r="I93" s="25"/>
      <c r="J93" s="103"/>
      <c r="K93" s="23"/>
      <c r="L93" s="23"/>
      <c r="M93" s="23"/>
      <c r="N93" s="23"/>
      <c r="O93" s="25"/>
      <c r="P93" s="26">
        <f t="shared" si="1"/>
        <v>427600</v>
      </c>
      <c r="Q93" s="16"/>
    </row>
    <row r="94" spans="1:19" s="27" customFormat="1" ht="36" x14ac:dyDescent="0.2">
      <c r="A94" s="96" t="s">
        <v>134</v>
      </c>
      <c r="B94" s="97" t="s">
        <v>23</v>
      </c>
      <c r="C94" s="97" t="s">
        <v>32</v>
      </c>
      <c r="D94" s="38" t="s">
        <v>327</v>
      </c>
      <c r="E94" s="23">
        <f t="shared" ref="E94:E95" si="22">F94+I94</f>
        <v>52738331</v>
      </c>
      <c r="F94" s="23">
        <f>52716423+21908</f>
        <v>52738331</v>
      </c>
      <c r="G94" s="23">
        <v>35755897</v>
      </c>
      <c r="H94" s="23">
        <f>3473687+21908</f>
        <v>3495595</v>
      </c>
      <c r="I94" s="25"/>
      <c r="J94" s="103">
        <f t="shared" si="20"/>
        <v>8938800</v>
      </c>
      <c r="K94" s="23">
        <f>1883800-605000</f>
        <v>1278800</v>
      </c>
      <c r="L94" s="23">
        <v>7660000</v>
      </c>
      <c r="M94" s="23">
        <v>2000000</v>
      </c>
      <c r="N94" s="23">
        <v>395000</v>
      </c>
      <c r="O94" s="25">
        <f>1883800-605000</f>
        <v>1278800</v>
      </c>
      <c r="P94" s="26">
        <f t="shared" si="1"/>
        <v>61677131</v>
      </c>
      <c r="Q94" s="16"/>
    </row>
    <row r="95" spans="1:19" s="27" customFormat="1" ht="28.5" customHeight="1" x14ac:dyDescent="0.2">
      <c r="A95" s="96"/>
      <c r="B95" s="97"/>
      <c r="C95" s="97"/>
      <c r="D95" s="35" t="s">
        <v>629</v>
      </c>
      <c r="E95" s="23">
        <f t="shared" si="22"/>
        <v>50858</v>
      </c>
      <c r="F95" s="23">
        <f>28950+21908</f>
        <v>50858</v>
      </c>
      <c r="G95" s="23"/>
      <c r="H95" s="23">
        <f>28950+21908</f>
        <v>50858</v>
      </c>
      <c r="I95" s="25"/>
      <c r="J95" s="103"/>
      <c r="K95" s="23"/>
      <c r="L95" s="23"/>
      <c r="M95" s="23"/>
      <c r="N95" s="23"/>
      <c r="O95" s="25"/>
      <c r="P95" s="26">
        <f t="shared" si="1"/>
        <v>50858</v>
      </c>
      <c r="Q95" s="16"/>
    </row>
    <row r="96" spans="1:19" s="27" customFormat="1" ht="39" customHeight="1" x14ac:dyDescent="0.2">
      <c r="A96" s="96" t="s">
        <v>368</v>
      </c>
      <c r="B96" s="97" t="s">
        <v>49</v>
      </c>
      <c r="C96" s="97"/>
      <c r="D96" s="38" t="s">
        <v>369</v>
      </c>
      <c r="E96" s="23">
        <f>F96+I96</f>
        <v>238765409</v>
      </c>
      <c r="F96" s="23">
        <f>F97+F99</f>
        <v>238765409</v>
      </c>
      <c r="G96" s="23">
        <f>G97+G99</f>
        <v>122233254</v>
      </c>
      <c r="H96" s="23">
        <f>H97+H99</f>
        <v>38204890</v>
      </c>
      <c r="I96" s="25">
        <f>I97+I99</f>
        <v>0</v>
      </c>
      <c r="J96" s="103">
        <f>L96+O96</f>
        <v>24018000</v>
      </c>
      <c r="K96" s="23"/>
      <c r="L96" s="23">
        <f>L97+L99</f>
        <v>23968000</v>
      </c>
      <c r="M96" s="23">
        <f>M97+M99</f>
        <v>6980300</v>
      </c>
      <c r="N96" s="23">
        <f>N97+N99</f>
        <v>6214500</v>
      </c>
      <c r="O96" s="25">
        <f>O97+O99</f>
        <v>50000</v>
      </c>
      <c r="P96" s="26">
        <f t="shared" si="1"/>
        <v>262783409</v>
      </c>
      <c r="Q96" s="16"/>
    </row>
    <row r="97" spans="1:17" s="27" customFormat="1" ht="54" customHeight="1" x14ac:dyDescent="0.2">
      <c r="A97" s="96" t="s">
        <v>370</v>
      </c>
      <c r="B97" s="97" t="s">
        <v>371</v>
      </c>
      <c r="C97" s="97" t="s">
        <v>16</v>
      </c>
      <c r="D97" s="38" t="s">
        <v>372</v>
      </c>
      <c r="E97" s="23">
        <f>F97+I97</f>
        <v>214126985</v>
      </c>
      <c r="F97" s="23">
        <f>215425985-1299000</f>
        <v>214126985</v>
      </c>
      <c r="G97" s="23">
        <f>102254246-296000</f>
        <v>101958246</v>
      </c>
      <c r="H97" s="23">
        <v>38204890</v>
      </c>
      <c r="I97" s="25"/>
      <c r="J97" s="103">
        <f>L97+O97</f>
        <v>24018000</v>
      </c>
      <c r="K97" s="23"/>
      <c r="L97" s="23">
        <v>23968000</v>
      </c>
      <c r="M97" s="23">
        <v>6980300</v>
      </c>
      <c r="N97" s="23">
        <v>6214500</v>
      </c>
      <c r="O97" s="25">
        <v>50000</v>
      </c>
      <c r="P97" s="26">
        <f t="shared" si="1"/>
        <v>238144985</v>
      </c>
      <c r="Q97" s="16"/>
    </row>
    <row r="98" spans="1:17" s="27" customFormat="1" ht="24" x14ac:dyDescent="0.2">
      <c r="A98" s="96"/>
      <c r="B98" s="97"/>
      <c r="C98" s="97"/>
      <c r="D98" s="35" t="s">
        <v>629</v>
      </c>
      <c r="E98" s="23">
        <f t="shared" ref="E98" si="23">F98+I98</f>
        <v>55000</v>
      </c>
      <c r="F98" s="23">
        <v>55000</v>
      </c>
      <c r="G98" s="23"/>
      <c r="H98" s="23">
        <v>55000</v>
      </c>
      <c r="I98" s="25"/>
      <c r="J98" s="103"/>
      <c r="K98" s="23"/>
      <c r="L98" s="23"/>
      <c r="M98" s="23"/>
      <c r="N98" s="23"/>
      <c r="O98" s="25"/>
      <c r="P98" s="26">
        <f t="shared" si="1"/>
        <v>55000</v>
      </c>
      <c r="Q98" s="16"/>
    </row>
    <row r="99" spans="1:17" s="27" customFormat="1" ht="51.75" customHeight="1" x14ac:dyDescent="0.2">
      <c r="A99" s="96" t="s">
        <v>373</v>
      </c>
      <c r="B99" s="97" t="s">
        <v>374</v>
      </c>
      <c r="C99" s="97" t="s">
        <v>16</v>
      </c>
      <c r="D99" s="38" t="s">
        <v>375</v>
      </c>
      <c r="E99" s="23">
        <f t="shared" ref="E99:E138" si="24">F99+I99</f>
        <v>24638424</v>
      </c>
      <c r="F99" s="23">
        <v>24638424</v>
      </c>
      <c r="G99" s="23">
        <v>20275008</v>
      </c>
      <c r="H99" s="23"/>
      <c r="I99" s="25"/>
      <c r="J99" s="103">
        <f t="shared" si="20"/>
        <v>0</v>
      </c>
      <c r="K99" s="23"/>
      <c r="L99" s="23"/>
      <c r="M99" s="23"/>
      <c r="N99" s="23"/>
      <c r="O99" s="25"/>
      <c r="P99" s="26">
        <f t="shared" si="1"/>
        <v>24638424</v>
      </c>
      <c r="Q99" s="16"/>
    </row>
    <row r="100" spans="1:17" s="27" customFormat="1" ht="39" customHeight="1" x14ac:dyDescent="0.2">
      <c r="A100" s="96" t="s">
        <v>399</v>
      </c>
      <c r="B100" s="97" t="s">
        <v>400</v>
      </c>
      <c r="C100" s="97" t="s">
        <v>406</v>
      </c>
      <c r="D100" s="38" t="s">
        <v>401</v>
      </c>
      <c r="E100" s="23">
        <f t="shared" si="24"/>
        <v>16105949</v>
      </c>
      <c r="F100" s="23">
        <v>16105949</v>
      </c>
      <c r="G100" s="23">
        <v>0</v>
      </c>
      <c r="H100" s="23">
        <v>0</v>
      </c>
      <c r="I100" s="25"/>
      <c r="J100" s="103"/>
      <c r="K100" s="23"/>
      <c r="L100" s="23"/>
      <c r="M100" s="23"/>
      <c r="N100" s="23"/>
      <c r="O100" s="25"/>
      <c r="P100" s="26">
        <f t="shared" si="1"/>
        <v>16105949</v>
      </c>
      <c r="Q100" s="16"/>
    </row>
    <row r="101" spans="1:17" s="27" customFormat="1" ht="27.75" customHeight="1" x14ac:dyDescent="0.2">
      <c r="A101" s="96" t="s">
        <v>354</v>
      </c>
      <c r="B101" s="97" t="s">
        <v>355</v>
      </c>
      <c r="C101" s="97" t="s">
        <v>33</v>
      </c>
      <c r="D101" s="38" t="s">
        <v>78</v>
      </c>
      <c r="E101" s="23">
        <f t="shared" si="24"/>
        <v>10000</v>
      </c>
      <c r="F101" s="23">
        <v>10000</v>
      </c>
      <c r="G101" s="23"/>
      <c r="H101" s="23"/>
      <c r="I101" s="25"/>
      <c r="J101" s="103">
        <f t="shared" si="20"/>
        <v>0</v>
      </c>
      <c r="K101" s="23"/>
      <c r="L101" s="23"/>
      <c r="M101" s="23"/>
      <c r="N101" s="23"/>
      <c r="O101" s="25"/>
      <c r="P101" s="26">
        <f t="shared" si="1"/>
        <v>10000</v>
      </c>
      <c r="Q101" s="16"/>
    </row>
    <row r="102" spans="1:17" s="27" customFormat="1" ht="26.25" customHeight="1" x14ac:dyDescent="0.2">
      <c r="A102" s="96" t="s">
        <v>356</v>
      </c>
      <c r="B102" s="97" t="s">
        <v>357</v>
      </c>
      <c r="C102" s="97" t="s">
        <v>34</v>
      </c>
      <c r="D102" s="38" t="s">
        <v>80</v>
      </c>
      <c r="E102" s="23">
        <f>F102+I102</f>
        <v>1562182</v>
      </c>
      <c r="F102" s="23">
        <v>1562182</v>
      </c>
      <c r="G102" s="23">
        <v>1259594</v>
      </c>
      <c r="H102" s="23"/>
      <c r="I102" s="25"/>
      <c r="J102" s="103">
        <f t="shared" si="20"/>
        <v>0</v>
      </c>
      <c r="K102" s="23"/>
      <c r="L102" s="23"/>
      <c r="M102" s="23"/>
      <c r="N102" s="23"/>
      <c r="O102" s="25"/>
      <c r="P102" s="26">
        <f t="shared" si="1"/>
        <v>1562182</v>
      </c>
      <c r="Q102" s="16"/>
    </row>
    <row r="103" spans="1:17" s="27" customFormat="1" ht="12.75" x14ac:dyDescent="0.2">
      <c r="A103" s="96" t="s">
        <v>135</v>
      </c>
      <c r="B103" s="97" t="s">
        <v>362</v>
      </c>
      <c r="C103" s="97"/>
      <c r="D103" s="2" t="s">
        <v>192</v>
      </c>
      <c r="E103" s="23">
        <f t="shared" ref="E103:E106" si="25">F103+I103</f>
        <v>34858656</v>
      </c>
      <c r="F103" s="23">
        <f>F104+F106</f>
        <v>34858656</v>
      </c>
      <c r="G103" s="23">
        <f t="shared" ref="G103:I103" si="26">G104+G106</f>
        <v>22237493</v>
      </c>
      <c r="H103" s="23">
        <f t="shared" si="26"/>
        <v>4390440</v>
      </c>
      <c r="I103" s="25">
        <f t="shared" si="26"/>
        <v>0</v>
      </c>
      <c r="J103" s="103">
        <f>L103+O103</f>
        <v>300000</v>
      </c>
      <c r="K103" s="23">
        <f>K104+K106</f>
        <v>0</v>
      </c>
      <c r="L103" s="23">
        <f t="shared" ref="L103:O103" si="27">L104+L106</f>
        <v>300000</v>
      </c>
      <c r="M103" s="23">
        <f t="shared" si="27"/>
        <v>133500</v>
      </c>
      <c r="N103" s="23">
        <f t="shared" si="27"/>
        <v>0</v>
      </c>
      <c r="O103" s="25">
        <f t="shared" si="27"/>
        <v>0</v>
      </c>
      <c r="P103" s="26">
        <f t="shared" ref="P103:P124" si="28">E103+J103</f>
        <v>35158656</v>
      </c>
      <c r="Q103" s="16"/>
    </row>
    <row r="104" spans="1:17" s="27" customFormat="1" ht="29.25" customHeight="1" x14ac:dyDescent="0.2">
      <c r="A104" s="96" t="s">
        <v>358</v>
      </c>
      <c r="B104" s="97" t="s">
        <v>359</v>
      </c>
      <c r="C104" s="97" t="s">
        <v>34</v>
      </c>
      <c r="D104" s="2" t="s">
        <v>378</v>
      </c>
      <c r="E104" s="23">
        <f>F104+I104</f>
        <v>34782895</v>
      </c>
      <c r="F104" s="23">
        <f>34588950+193945</f>
        <v>34782895</v>
      </c>
      <c r="G104" s="23">
        <v>22237493</v>
      </c>
      <c r="H104" s="23">
        <f>4196495+193945</f>
        <v>4390440</v>
      </c>
      <c r="I104" s="25"/>
      <c r="J104" s="103">
        <f t="shared" ref="J104:J119" si="29">L104+O104</f>
        <v>300000</v>
      </c>
      <c r="K104" s="23"/>
      <c r="L104" s="23">
        <v>300000</v>
      </c>
      <c r="M104" s="23">
        <v>133500</v>
      </c>
      <c r="N104" s="23"/>
      <c r="O104" s="25"/>
      <c r="P104" s="26">
        <f t="shared" si="28"/>
        <v>35082895</v>
      </c>
      <c r="Q104" s="16"/>
    </row>
    <row r="105" spans="1:17" s="27" customFormat="1" ht="30" customHeight="1" x14ac:dyDescent="0.2">
      <c r="A105" s="96"/>
      <c r="B105" s="97"/>
      <c r="C105" s="97"/>
      <c r="D105" s="35" t="s">
        <v>629</v>
      </c>
      <c r="E105" s="23">
        <f>F105+I105</f>
        <v>1416240</v>
      </c>
      <c r="F105" s="23">
        <f>1222295+193945</f>
        <v>1416240</v>
      </c>
      <c r="G105" s="23"/>
      <c r="H105" s="23">
        <f>1222295+193945</f>
        <v>1416240</v>
      </c>
      <c r="I105" s="25"/>
      <c r="J105" s="103">
        <f t="shared" si="29"/>
        <v>0</v>
      </c>
      <c r="K105" s="23"/>
      <c r="L105" s="23"/>
      <c r="M105" s="23"/>
      <c r="N105" s="23"/>
      <c r="O105" s="25"/>
      <c r="P105" s="26">
        <f t="shared" si="28"/>
        <v>1416240</v>
      </c>
      <c r="Q105" s="16"/>
    </row>
    <row r="106" spans="1:17" s="27" customFormat="1" ht="22.15" customHeight="1" x14ac:dyDescent="0.2">
      <c r="A106" s="96" t="s">
        <v>360</v>
      </c>
      <c r="B106" s="97" t="s">
        <v>361</v>
      </c>
      <c r="C106" s="97" t="s">
        <v>34</v>
      </c>
      <c r="D106" s="40" t="s">
        <v>379</v>
      </c>
      <c r="E106" s="23">
        <f t="shared" si="25"/>
        <v>75761</v>
      </c>
      <c r="F106" s="23">
        <v>75761</v>
      </c>
      <c r="G106" s="23"/>
      <c r="H106" s="23"/>
      <c r="I106" s="25"/>
      <c r="J106" s="103">
        <f t="shared" si="29"/>
        <v>0</v>
      </c>
      <c r="K106" s="23"/>
      <c r="L106" s="23"/>
      <c r="M106" s="23"/>
      <c r="N106" s="23"/>
      <c r="O106" s="25"/>
      <c r="P106" s="26">
        <f t="shared" si="28"/>
        <v>75761</v>
      </c>
      <c r="Q106" s="16"/>
    </row>
    <row r="107" spans="1:17" s="27" customFormat="1" ht="28.5" customHeight="1" x14ac:dyDescent="0.2">
      <c r="A107" s="96" t="s">
        <v>136</v>
      </c>
      <c r="B107" s="97" t="s">
        <v>79</v>
      </c>
      <c r="C107" s="97"/>
      <c r="D107" s="28" t="s">
        <v>291</v>
      </c>
      <c r="E107" s="23">
        <f>F107+I107</f>
        <v>2732289</v>
      </c>
      <c r="F107" s="23">
        <f>F108+F109+F110</f>
        <v>2732289</v>
      </c>
      <c r="G107" s="23">
        <f>G108+G109+G110</f>
        <v>2129855</v>
      </c>
      <c r="H107" s="23">
        <f>H108+H109+H110</f>
        <v>62100</v>
      </c>
      <c r="I107" s="25">
        <f t="shared" ref="I107" si="30">I108+I109</f>
        <v>0</v>
      </c>
      <c r="J107" s="103">
        <f t="shared" si="29"/>
        <v>0</v>
      </c>
      <c r="K107" s="23"/>
      <c r="L107" s="23"/>
      <c r="M107" s="23"/>
      <c r="N107" s="23"/>
      <c r="O107" s="25"/>
      <c r="P107" s="26">
        <f t="shared" si="28"/>
        <v>2732289</v>
      </c>
      <c r="Q107" s="16"/>
    </row>
    <row r="108" spans="1:17" s="27" customFormat="1" ht="41.25" customHeight="1" x14ac:dyDescent="0.2">
      <c r="A108" s="96" t="s">
        <v>363</v>
      </c>
      <c r="B108" s="97" t="s">
        <v>364</v>
      </c>
      <c r="C108" s="97" t="s">
        <v>34</v>
      </c>
      <c r="D108" s="28" t="s">
        <v>380</v>
      </c>
      <c r="E108" s="23">
        <f t="shared" ref="E108:E111" si="31">F108+I108</f>
        <v>560900</v>
      </c>
      <c r="F108" s="23">
        <f>746900-186000</f>
        <v>560900</v>
      </c>
      <c r="G108" s="23">
        <f>500000-150000</f>
        <v>350000</v>
      </c>
      <c r="H108" s="23">
        <v>62100</v>
      </c>
      <c r="I108" s="25"/>
      <c r="J108" s="103">
        <f t="shared" si="29"/>
        <v>0</v>
      </c>
      <c r="K108" s="23"/>
      <c r="L108" s="23"/>
      <c r="M108" s="23"/>
      <c r="N108" s="23"/>
      <c r="O108" s="25"/>
      <c r="P108" s="26">
        <f t="shared" si="28"/>
        <v>560900</v>
      </c>
      <c r="Q108" s="16"/>
    </row>
    <row r="109" spans="1:17" s="27" customFormat="1" ht="40.5" customHeight="1" x14ac:dyDescent="0.2">
      <c r="A109" s="96" t="s">
        <v>365</v>
      </c>
      <c r="B109" s="97" t="s">
        <v>366</v>
      </c>
      <c r="C109" s="97" t="s">
        <v>34</v>
      </c>
      <c r="D109" s="28" t="s">
        <v>381</v>
      </c>
      <c r="E109" s="23">
        <f t="shared" si="31"/>
        <v>2171200</v>
      </c>
      <c r="F109" s="23">
        <f>2171200</f>
        <v>2171200</v>
      </c>
      <c r="G109" s="23">
        <v>1779700</v>
      </c>
      <c r="H109" s="23"/>
      <c r="I109" s="25"/>
      <c r="J109" s="103">
        <f t="shared" si="29"/>
        <v>0</v>
      </c>
      <c r="K109" s="23"/>
      <c r="L109" s="23"/>
      <c r="M109" s="23"/>
      <c r="N109" s="23"/>
      <c r="O109" s="25"/>
      <c r="P109" s="26">
        <f t="shared" si="28"/>
        <v>2171200</v>
      </c>
      <c r="Q109" s="16"/>
    </row>
    <row r="110" spans="1:17" s="27" customFormat="1" ht="89.25" customHeight="1" x14ac:dyDescent="0.2">
      <c r="A110" s="96" t="s">
        <v>483</v>
      </c>
      <c r="B110" s="97" t="s">
        <v>484</v>
      </c>
      <c r="C110" s="97" t="s">
        <v>34</v>
      </c>
      <c r="D110" s="28" t="s">
        <v>485</v>
      </c>
      <c r="E110" s="23">
        <v>189</v>
      </c>
      <c r="F110" s="23">
        <v>189</v>
      </c>
      <c r="G110" s="23">
        <v>155</v>
      </c>
      <c r="H110" s="23"/>
      <c r="I110" s="25"/>
      <c r="J110" s="103">
        <f t="shared" si="29"/>
        <v>0</v>
      </c>
      <c r="K110" s="23"/>
      <c r="L110" s="23"/>
      <c r="M110" s="23"/>
      <c r="N110" s="23"/>
      <c r="O110" s="25"/>
      <c r="P110" s="26">
        <f t="shared" si="28"/>
        <v>189</v>
      </c>
      <c r="Q110" s="16"/>
    </row>
    <row r="111" spans="1:17" s="27" customFormat="1" ht="38.25" customHeight="1" x14ac:dyDescent="0.2">
      <c r="A111" s="96" t="s">
        <v>137</v>
      </c>
      <c r="B111" s="97" t="s">
        <v>81</v>
      </c>
      <c r="C111" s="97" t="s">
        <v>34</v>
      </c>
      <c r="D111" s="28" t="s">
        <v>367</v>
      </c>
      <c r="E111" s="23">
        <f t="shared" si="31"/>
        <v>3780428</v>
      </c>
      <c r="F111" s="23">
        <v>3780428</v>
      </c>
      <c r="G111" s="23">
        <v>2824843</v>
      </c>
      <c r="H111" s="23"/>
      <c r="I111" s="25"/>
      <c r="J111" s="103">
        <f t="shared" si="29"/>
        <v>0</v>
      </c>
      <c r="K111" s="23"/>
      <c r="L111" s="23"/>
      <c r="M111" s="23"/>
      <c r="N111" s="23"/>
      <c r="O111" s="25"/>
      <c r="P111" s="26">
        <f t="shared" si="28"/>
        <v>3780428</v>
      </c>
      <c r="Q111" s="16"/>
    </row>
    <row r="112" spans="1:17" s="27" customFormat="1" ht="74.25" customHeight="1" x14ac:dyDescent="0.2">
      <c r="A112" s="96" t="s">
        <v>603</v>
      </c>
      <c r="B112" s="97" t="s">
        <v>604</v>
      </c>
      <c r="C112" s="97" t="s">
        <v>34</v>
      </c>
      <c r="D112" s="28" t="s">
        <v>602</v>
      </c>
      <c r="E112" s="23"/>
      <c r="F112" s="23"/>
      <c r="G112" s="23"/>
      <c r="H112" s="23"/>
      <c r="I112" s="25"/>
      <c r="J112" s="103">
        <f>L112+O112</f>
        <v>558846</v>
      </c>
      <c r="K112" s="23">
        <f>558846</f>
        <v>558846</v>
      </c>
      <c r="L112" s="23"/>
      <c r="M112" s="23"/>
      <c r="N112" s="23"/>
      <c r="O112" s="25">
        <f>558846</f>
        <v>558846</v>
      </c>
      <c r="P112" s="26">
        <f t="shared" si="28"/>
        <v>558846</v>
      </c>
      <c r="Q112" s="16"/>
    </row>
    <row r="113" spans="1:18" s="27" customFormat="1" ht="51" customHeight="1" x14ac:dyDescent="0.2">
      <c r="A113" s="96" t="s">
        <v>486</v>
      </c>
      <c r="B113" s="97" t="s">
        <v>488</v>
      </c>
      <c r="C113" s="97" t="s">
        <v>34</v>
      </c>
      <c r="D113" s="2" t="s">
        <v>490</v>
      </c>
      <c r="E113" s="23">
        <f t="shared" ref="E113:E124" si="32">F113+I113</f>
        <v>4485300</v>
      </c>
      <c r="F113" s="23">
        <f>2272900+2212400</f>
        <v>4485300</v>
      </c>
      <c r="G113" s="23">
        <v>3679509</v>
      </c>
      <c r="H113" s="23"/>
      <c r="I113" s="25"/>
      <c r="J113" s="103">
        <f t="shared" ref="J113:J118" si="33">L113+O113</f>
        <v>0</v>
      </c>
      <c r="K113" s="23"/>
      <c r="L113" s="23"/>
      <c r="M113" s="23"/>
      <c r="N113" s="23"/>
      <c r="O113" s="25"/>
      <c r="P113" s="26">
        <f t="shared" si="28"/>
        <v>4485300</v>
      </c>
      <c r="Q113" s="16"/>
    </row>
    <row r="114" spans="1:18" s="27" customFormat="1" ht="66" customHeight="1" x14ac:dyDescent="0.2">
      <c r="A114" s="96" t="s">
        <v>487</v>
      </c>
      <c r="B114" s="97" t="s">
        <v>489</v>
      </c>
      <c r="C114" s="97" t="s">
        <v>34</v>
      </c>
      <c r="D114" s="2" t="s">
        <v>491</v>
      </c>
      <c r="E114" s="23">
        <f t="shared" si="32"/>
        <v>11</v>
      </c>
      <c r="F114" s="23">
        <v>11</v>
      </c>
      <c r="G114" s="23">
        <v>8</v>
      </c>
      <c r="H114" s="23"/>
      <c r="I114" s="25"/>
      <c r="J114" s="103">
        <f t="shared" si="33"/>
        <v>0</v>
      </c>
      <c r="K114" s="23"/>
      <c r="L114" s="23"/>
      <c r="M114" s="23"/>
      <c r="N114" s="23"/>
      <c r="O114" s="25"/>
      <c r="P114" s="26">
        <f t="shared" si="28"/>
        <v>11</v>
      </c>
      <c r="Q114" s="16"/>
    </row>
    <row r="115" spans="1:18" s="27" customFormat="1" ht="60" x14ac:dyDescent="0.2">
      <c r="A115" s="96" t="s">
        <v>492</v>
      </c>
      <c r="B115" s="97" t="s">
        <v>493</v>
      </c>
      <c r="C115" s="97" t="s">
        <v>34</v>
      </c>
      <c r="D115" s="2" t="s">
        <v>496</v>
      </c>
      <c r="E115" s="23">
        <f t="shared" si="32"/>
        <v>1934940</v>
      </c>
      <c r="F115" s="23">
        <f>1934900+40</f>
        <v>1934940</v>
      </c>
      <c r="G115" s="23">
        <v>0</v>
      </c>
      <c r="H115" s="23"/>
      <c r="I115" s="25"/>
      <c r="J115" s="103">
        <f t="shared" si="33"/>
        <v>1491960</v>
      </c>
      <c r="K115" s="23">
        <f>1492000-40</f>
        <v>1491960</v>
      </c>
      <c r="L115" s="23"/>
      <c r="M115" s="23"/>
      <c r="N115" s="23"/>
      <c r="O115" s="25">
        <f>1492000-40</f>
        <v>1491960</v>
      </c>
      <c r="P115" s="26">
        <f t="shared" si="28"/>
        <v>3426900</v>
      </c>
      <c r="Q115" s="16"/>
    </row>
    <row r="116" spans="1:18" s="27" customFormat="1" ht="48" x14ac:dyDescent="0.2">
      <c r="A116" s="96" t="s">
        <v>494</v>
      </c>
      <c r="B116" s="97" t="s">
        <v>495</v>
      </c>
      <c r="C116" s="97" t="s">
        <v>34</v>
      </c>
      <c r="D116" s="2" t="s">
        <v>497</v>
      </c>
      <c r="E116" s="23">
        <f t="shared" si="32"/>
        <v>2811570</v>
      </c>
      <c r="F116" s="23">
        <v>2811570</v>
      </c>
      <c r="G116" s="23">
        <v>0</v>
      </c>
      <c r="H116" s="23"/>
      <c r="I116" s="25"/>
      <c r="J116" s="103">
        <f t="shared" si="33"/>
        <v>5183430</v>
      </c>
      <c r="K116" s="23">
        <f>5359700-176270</f>
        <v>5183430</v>
      </c>
      <c r="L116" s="23"/>
      <c r="M116" s="23"/>
      <c r="N116" s="23"/>
      <c r="O116" s="25">
        <f>5359700-176270</f>
        <v>5183430</v>
      </c>
      <c r="P116" s="26">
        <f t="shared" si="28"/>
        <v>7995000</v>
      </c>
      <c r="Q116" s="16"/>
    </row>
    <row r="117" spans="1:18" s="27" customFormat="1" ht="72" x14ac:dyDescent="0.2">
      <c r="A117" s="96" t="s">
        <v>499</v>
      </c>
      <c r="B117" s="97" t="s">
        <v>500</v>
      </c>
      <c r="C117" s="97" t="s">
        <v>34</v>
      </c>
      <c r="D117" s="2" t="s">
        <v>501</v>
      </c>
      <c r="E117" s="23">
        <f t="shared" si="32"/>
        <v>0</v>
      </c>
      <c r="F117" s="23"/>
      <c r="G117" s="23">
        <v>0</v>
      </c>
      <c r="H117" s="23"/>
      <c r="I117" s="25"/>
      <c r="J117" s="103">
        <f t="shared" si="33"/>
        <v>247935</v>
      </c>
      <c r="K117" s="23"/>
      <c r="L117" s="23"/>
      <c r="M117" s="23"/>
      <c r="N117" s="23"/>
      <c r="O117" s="25">
        <v>247935</v>
      </c>
      <c r="P117" s="26">
        <f t="shared" si="28"/>
        <v>247935</v>
      </c>
      <c r="Q117" s="16"/>
    </row>
    <row r="118" spans="1:18" s="27" customFormat="1" ht="54.75" customHeight="1" x14ac:dyDescent="0.2">
      <c r="A118" s="96" t="s">
        <v>631</v>
      </c>
      <c r="B118" s="97" t="s">
        <v>632</v>
      </c>
      <c r="C118" s="97" t="s">
        <v>34</v>
      </c>
      <c r="D118" s="2" t="s">
        <v>633</v>
      </c>
      <c r="E118" s="23">
        <f t="shared" si="32"/>
        <v>31998700</v>
      </c>
      <c r="F118" s="23">
        <v>31998700</v>
      </c>
      <c r="G118" s="23"/>
      <c r="H118" s="23"/>
      <c r="I118" s="25"/>
      <c r="J118" s="103">
        <f t="shared" si="33"/>
        <v>37325200</v>
      </c>
      <c r="K118" s="23"/>
      <c r="L118" s="23">
        <f>37325200</f>
        <v>37325200</v>
      </c>
      <c r="M118" s="23"/>
      <c r="N118" s="23"/>
      <c r="O118" s="25"/>
      <c r="P118" s="26">
        <f t="shared" si="28"/>
        <v>69323900</v>
      </c>
      <c r="Q118" s="16"/>
    </row>
    <row r="119" spans="1:18" s="27" customFormat="1" ht="24" x14ac:dyDescent="0.2">
      <c r="A119" s="96" t="s">
        <v>138</v>
      </c>
      <c r="B119" s="97" t="s">
        <v>82</v>
      </c>
      <c r="C119" s="97" t="s">
        <v>35</v>
      </c>
      <c r="D119" s="2" t="s">
        <v>83</v>
      </c>
      <c r="E119" s="23">
        <f t="shared" si="32"/>
        <v>13747208</v>
      </c>
      <c r="F119" s="23">
        <v>13747208</v>
      </c>
      <c r="G119" s="23">
        <f>7200000+172000</f>
        <v>7372000</v>
      </c>
      <c r="H119" s="23">
        <v>2194000</v>
      </c>
      <c r="I119" s="25"/>
      <c r="J119" s="103">
        <f t="shared" si="29"/>
        <v>0</v>
      </c>
      <c r="K119" s="23"/>
      <c r="L119" s="23"/>
      <c r="M119" s="23"/>
      <c r="N119" s="23"/>
      <c r="O119" s="25"/>
      <c r="P119" s="26">
        <f t="shared" si="28"/>
        <v>13747208</v>
      </c>
      <c r="Q119" s="16"/>
    </row>
    <row r="120" spans="1:18" s="27" customFormat="1" ht="48" x14ac:dyDescent="0.2">
      <c r="A120" s="96" t="s">
        <v>498</v>
      </c>
      <c r="B120" s="97" t="s">
        <v>84</v>
      </c>
      <c r="C120" s="97" t="s">
        <v>35</v>
      </c>
      <c r="D120" s="38" t="s">
        <v>85</v>
      </c>
      <c r="E120" s="23">
        <f t="shared" si="32"/>
        <v>1428600</v>
      </c>
      <c r="F120" s="23">
        <v>1428600</v>
      </c>
      <c r="G120" s="23"/>
      <c r="H120" s="23"/>
      <c r="I120" s="25"/>
      <c r="J120" s="103"/>
      <c r="K120" s="23"/>
      <c r="L120" s="23"/>
      <c r="M120" s="23"/>
      <c r="N120" s="23"/>
      <c r="O120" s="25"/>
      <c r="P120" s="26">
        <f t="shared" si="28"/>
        <v>1428600</v>
      </c>
      <c r="Q120" s="16"/>
    </row>
    <row r="121" spans="1:18" s="27" customFormat="1" ht="24" x14ac:dyDescent="0.2">
      <c r="A121" s="96" t="s">
        <v>139</v>
      </c>
      <c r="B121" s="97" t="s">
        <v>64</v>
      </c>
      <c r="C121" s="97" t="s">
        <v>36</v>
      </c>
      <c r="D121" s="38" t="s">
        <v>55</v>
      </c>
      <c r="E121" s="23">
        <f t="shared" si="32"/>
        <v>44333208</v>
      </c>
      <c r="F121" s="23">
        <v>44333208</v>
      </c>
      <c r="G121" s="23">
        <v>26226450</v>
      </c>
      <c r="H121" s="23">
        <v>8714600</v>
      </c>
      <c r="I121" s="25"/>
      <c r="J121" s="103">
        <f>L121+O121</f>
        <v>771800</v>
      </c>
      <c r="K121" s="23">
        <f>99000+500000</f>
        <v>599000</v>
      </c>
      <c r="L121" s="23">
        <v>172800</v>
      </c>
      <c r="M121" s="23">
        <v>133700</v>
      </c>
      <c r="N121" s="23"/>
      <c r="O121" s="25">
        <f>99000+500000</f>
        <v>599000</v>
      </c>
      <c r="P121" s="26">
        <f t="shared" si="28"/>
        <v>45105008</v>
      </c>
      <c r="Q121" s="16"/>
    </row>
    <row r="122" spans="1:18" s="27" customFormat="1" ht="96" x14ac:dyDescent="0.2">
      <c r="A122" s="96" t="s">
        <v>251</v>
      </c>
      <c r="B122" s="97" t="s">
        <v>249</v>
      </c>
      <c r="C122" s="97" t="s">
        <v>25</v>
      </c>
      <c r="D122" s="2" t="s">
        <v>250</v>
      </c>
      <c r="E122" s="23">
        <f t="shared" si="32"/>
        <v>0</v>
      </c>
      <c r="F122" s="23"/>
      <c r="G122" s="23"/>
      <c r="H122" s="23"/>
      <c r="I122" s="25"/>
      <c r="J122" s="103">
        <f>L122+O122</f>
        <v>3198838</v>
      </c>
      <c r="K122" s="23"/>
      <c r="L122" s="23">
        <f>1188000+32940-52321+340100</f>
        <v>1508719</v>
      </c>
      <c r="M122" s="23"/>
      <c r="N122" s="23"/>
      <c r="O122" s="25">
        <f>1670738+19381</f>
        <v>1690119</v>
      </c>
      <c r="P122" s="26">
        <f t="shared" si="28"/>
        <v>3198838</v>
      </c>
      <c r="Q122" s="16"/>
    </row>
    <row r="123" spans="1:18" s="27" customFormat="1" ht="24" x14ac:dyDescent="0.2">
      <c r="A123" s="96" t="s">
        <v>574</v>
      </c>
      <c r="B123" s="97" t="s">
        <v>93</v>
      </c>
      <c r="C123" s="97" t="s">
        <v>17</v>
      </c>
      <c r="D123" s="2" t="s">
        <v>9</v>
      </c>
      <c r="E123" s="23">
        <f t="shared" si="32"/>
        <v>0</v>
      </c>
      <c r="F123" s="23"/>
      <c r="G123" s="23"/>
      <c r="H123" s="23"/>
      <c r="I123" s="25"/>
      <c r="J123" s="103">
        <f>L123+O123</f>
        <v>50000</v>
      </c>
      <c r="K123" s="23"/>
      <c r="L123" s="23">
        <f>50000</f>
        <v>50000</v>
      </c>
      <c r="M123" s="23"/>
      <c r="N123" s="23"/>
      <c r="O123" s="25"/>
      <c r="P123" s="26">
        <f t="shared" si="28"/>
        <v>50000</v>
      </c>
      <c r="Q123" s="16"/>
    </row>
    <row r="124" spans="1:18" s="27" customFormat="1" ht="48" x14ac:dyDescent="0.2">
      <c r="A124" s="96" t="s">
        <v>575</v>
      </c>
      <c r="B124" s="97" t="s">
        <v>576</v>
      </c>
      <c r="C124" s="97" t="s">
        <v>34</v>
      </c>
      <c r="D124" s="2" t="s">
        <v>577</v>
      </c>
      <c r="E124" s="23">
        <f t="shared" si="32"/>
        <v>38148</v>
      </c>
      <c r="F124" s="23">
        <v>38148</v>
      </c>
      <c r="G124" s="23"/>
      <c r="H124" s="23"/>
      <c r="I124" s="25"/>
      <c r="J124" s="103">
        <f>L124+O124</f>
        <v>949935</v>
      </c>
      <c r="K124" s="23">
        <f>949935</f>
        <v>949935</v>
      </c>
      <c r="L124" s="23"/>
      <c r="M124" s="23"/>
      <c r="N124" s="23"/>
      <c r="O124" s="25">
        <f>949935</f>
        <v>949935</v>
      </c>
      <c r="P124" s="26">
        <f t="shared" si="28"/>
        <v>988083</v>
      </c>
      <c r="Q124" s="16"/>
    </row>
    <row r="125" spans="1:18" s="17" customFormat="1" ht="25.5" x14ac:dyDescent="0.2">
      <c r="A125" s="33" t="s">
        <v>103</v>
      </c>
      <c r="B125" s="19"/>
      <c r="C125" s="19"/>
      <c r="D125" s="20" t="s">
        <v>86</v>
      </c>
      <c r="E125" s="21">
        <f>E127+E128+E131+E132+E133+E134+E137</f>
        <v>110869582</v>
      </c>
      <c r="F125" s="21">
        <f>F128+F131+F132+F134+F127+F133+F137</f>
        <v>110869582</v>
      </c>
      <c r="G125" s="21">
        <f>G128+G131+G132+G134+G127+G133</f>
        <v>2430300</v>
      </c>
      <c r="H125" s="21">
        <f>H128+H131+H132+H134+H127+H133</f>
        <v>53000</v>
      </c>
      <c r="I125" s="22">
        <f>I128+I131+I132+I134+I127+I133</f>
        <v>0</v>
      </c>
      <c r="J125" s="104">
        <f>SUM(J127:J128)+J131+J132+J133+J134+J138</f>
        <v>150059158</v>
      </c>
      <c r="K125" s="21">
        <f>SUM(K127:K128)+K131+K132+K133+K134+K138</f>
        <v>148659158</v>
      </c>
      <c r="L125" s="21">
        <f t="shared" ref="L125:N125" si="34">SUM(L127:L128)+L131+L132+L133+L134+L138</f>
        <v>1400000</v>
      </c>
      <c r="M125" s="21">
        <f t="shared" si="34"/>
        <v>0</v>
      </c>
      <c r="N125" s="21">
        <f t="shared" si="34"/>
        <v>0</v>
      </c>
      <c r="O125" s="22">
        <f>SUM(O127:O128)+O131+O132+O133+O134+O138</f>
        <v>148659158</v>
      </c>
      <c r="P125" s="24">
        <f>E125+J125</f>
        <v>260928740</v>
      </c>
      <c r="Q125" s="16"/>
      <c r="R125" s="16"/>
    </row>
    <row r="126" spans="1:18" s="17" customFormat="1" ht="25.5" x14ac:dyDescent="0.2">
      <c r="A126" s="33" t="s">
        <v>104</v>
      </c>
      <c r="B126" s="19"/>
      <c r="C126" s="19"/>
      <c r="D126" s="20" t="s">
        <v>86</v>
      </c>
      <c r="E126" s="23"/>
      <c r="F126" s="21"/>
      <c r="G126" s="21"/>
      <c r="H126" s="21"/>
      <c r="I126" s="22"/>
      <c r="J126" s="103"/>
      <c r="K126" s="23"/>
      <c r="L126" s="21"/>
      <c r="M126" s="21"/>
      <c r="N126" s="21"/>
      <c r="O126" s="22"/>
      <c r="P126" s="24">
        <f t="shared" ref="P126:P190" si="35">E126+J126</f>
        <v>0</v>
      </c>
      <c r="Q126" s="16"/>
    </row>
    <row r="127" spans="1:18" s="17" customFormat="1" ht="36" x14ac:dyDescent="0.2">
      <c r="A127" s="96" t="s">
        <v>105</v>
      </c>
      <c r="B127" s="97" t="s">
        <v>59</v>
      </c>
      <c r="C127" s="97" t="s">
        <v>22</v>
      </c>
      <c r="D127" s="2" t="s">
        <v>412</v>
      </c>
      <c r="E127" s="23">
        <f>F127+I127</f>
        <v>3401400</v>
      </c>
      <c r="F127" s="23">
        <f>2910100+20000+15000+35000+481300-50000-10000</f>
        <v>3401400</v>
      </c>
      <c r="G127" s="23">
        <f>2100000-40000+370300</f>
        <v>2430300</v>
      </c>
      <c r="H127" s="23">
        <f>33000+20000</f>
        <v>53000</v>
      </c>
      <c r="I127" s="22"/>
      <c r="J127" s="103">
        <f>L127+O127</f>
        <v>0</v>
      </c>
      <c r="K127" s="23"/>
      <c r="L127" s="23"/>
      <c r="M127" s="23"/>
      <c r="N127" s="23"/>
      <c r="O127" s="25"/>
      <c r="P127" s="26">
        <f t="shared" si="35"/>
        <v>3401400</v>
      </c>
      <c r="Q127" s="16"/>
    </row>
    <row r="128" spans="1:18" s="27" customFormat="1" ht="24" x14ac:dyDescent="0.2">
      <c r="A128" s="96" t="s">
        <v>106</v>
      </c>
      <c r="B128" s="97">
        <v>2010</v>
      </c>
      <c r="C128" s="97" t="s">
        <v>18</v>
      </c>
      <c r="D128" s="2" t="s">
        <v>11</v>
      </c>
      <c r="E128" s="23">
        <f t="shared" ref="E128:E137" si="36">F128</f>
        <v>67973482</v>
      </c>
      <c r="F128" s="23">
        <f>47051000-100+11928600+500000+11776182+150000+4433000-3665000-7200-4193000</f>
        <v>67973482</v>
      </c>
      <c r="G128" s="23"/>
      <c r="H128" s="23"/>
      <c r="I128" s="25"/>
      <c r="J128" s="103">
        <f>L128+O128</f>
        <v>13217423</v>
      </c>
      <c r="K128" s="23">
        <f>3281288+801865+12748816+3404954+20000-7323909+284409</f>
        <v>13217423</v>
      </c>
      <c r="L128" s="23"/>
      <c r="M128" s="23"/>
      <c r="N128" s="23"/>
      <c r="O128" s="25">
        <f>3281288+801865+12748816+3404954+20000-7323909+284409</f>
        <v>13217423</v>
      </c>
      <c r="P128" s="26">
        <f t="shared" si="35"/>
        <v>81190905</v>
      </c>
      <c r="Q128" s="16"/>
    </row>
    <row r="129" spans="1:18" s="27" customFormat="1" ht="12.75" x14ac:dyDescent="0.2">
      <c r="A129" s="96"/>
      <c r="B129" s="97"/>
      <c r="C129" s="97"/>
      <c r="D129" s="2" t="s">
        <v>449</v>
      </c>
      <c r="E129" s="23"/>
      <c r="F129" s="23"/>
      <c r="G129" s="23"/>
      <c r="H129" s="23"/>
      <c r="I129" s="25"/>
      <c r="J129" s="103"/>
      <c r="K129" s="23"/>
      <c r="L129" s="23"/>
      <c r="M129" s="23"/>
      <c r="N129" s="23"/>
      <c r="O129" s="25"/>
      <c r="P129" s="26">
        <f t="shared" si="35"/>
        <v>0</v>
      </c>
      <c r="Q129" s="16"/>
    </row>
    <row r="130" spans="1:18" s="27" customFormat="1" ht="93.75" customHeight="1" x14ac:dyDescent="0.2">
      <c r="A130" s="96"/>
      <c r="B130" s="97"/>
      <c r="C130" s="97"/>
      <c r="D130" s="35" t="s">
        <v>504</v>
      </c>
      <c r="E130" s="23"/>
      <c r="F130" s="23"/>
      <c r="G130" s="23"/>
      <c r="H130" s="23"/>
      <c r="I130" s="25"/>
      <c r="J130" s="103">
        <f t="shared" ref="J130" si="37">L130+O130</f>
        <v>608479</v>
      </c>
      <c r="K130" s="23">
        <v>608479</v>
      </c>
      <c r="L130" s="23"/>
      <c r="M130" s="23"/>
      <c r="N130" s="23"/>
      <c r="O130" s="25">
        <v>608479</v>
      </c>
      <c r="P130" s="26">
        <f t="shared" si="35"/>
        <v>608479</v>
      </c>
      <c r="Q130" s="16"/>
      <c r="R130" s="37"/>
    </row>
    <row r="131" spans="1:18" s="27" customFormat="1" ht="24" x14ac:dyDescent="0.2">
      <c r="A131" s="96" t="s">
        <v>107</v>
      </c>
      <c r="B131" s="97" t="s">
        <v>87</v>
      </c>
      <c r="C131" s="97" t="s">
        <v>19</v>
      </c>
      <c r="D131" s="2" t="s">
        <v>13</v>
      </c>
      <c r="E131" s="23">
        <f t="shared" si="36"/>
        <v>3667000</v>
      </c>
      <c r="F131" s="23">
        <v>3667000</v>
      </c>
      <c r="G131" s="23"/>
      <c r="H131" s="23"/>
      <c r="I131" s="25"/>
      <c r="J131" s="103">
        <f t="shared" ref="J131" si="38">L131+O131</f>
        <v>0</v>
      </c>
      <c r="K131" s="23"/>
      <c r="L131" s="23"/>
      <c r="M131" s="23"/>
      <c r="N131" s="23"/>
      <c r="O131" s="25"/>
      <c r="P131" s="26">
        <f t="shared" si="35"/>
        <v>3667000</v>
      </c>
      <c r="Q131" s="16"/>
    </row>
    <row r="132" spans="1:18" s="27" customFormat="1" ht="24" x14ac:dyDescent="0.2">
      <c r="A132" s="96" t="s">
        <v>108</v>
      </c>
      <c r="B132" s="97" t="s">
        <v>88</v>
      </c>
      <c r="C132" s="97" t="s">
        <v>20</v>
      </c>
      <c r="D132" s="2" t="s">
        <v>239</v>
      </c>
      <c r="E132" s="23">
        <f t="shared" si="36"/>
        <v>23295136</v>
      </c>
      <c r="F132" s="23">
        <f>23417000+429736+1046000-999800-597800</f>
        <v>23295136</v>
      </c>
      <c r="G132" s="23"/>
      <c r="H132" s="23"/>
      <c r="I132" s="25"/>
      <c r="J132" s="103">
        <f>L132+O132</f>
        <v>1241735</v>
      </c>
      <c r="K132" s="23">
        <f>1302206-60471</f>
        <v>1241735</v>
      </c>
      <c r="L132" s="23"/>
      <c r="M132" s="23"/>
      <c r="N132" s="23"/>
      <c r="O132" s="25">
        <f>1302206-60471</f>
        <v>1241735</v>
      </c>
      <c r="P132" s="26">
        <f t="shared" si="35"/>
        <v>24536871</v>
      </c>
      <c r="Q132" s="16"/>
    </row>
    <row r="133" spans="1:18" s="27" customFormat="1" ht="36" x14ac:dyDescent="0.2">
      <c r="A133" s="96" t="s">
        <v>277</v>
      </c>
      <c r="B133" s="99" t="s">
        <v>264</v>
      </c>
      <c r="C133" s="99" t="s">
        <v>278</v>
      </c>
      <c r="D133" s="100" t="s">
        <v>265</v>
      </c>
      <c r="E133" s="23">
        <f t="shared" si="36"/>
        <v>12153500</v>
      </c>
      <c r="F133" s="23">
        <f>14283500-513000-1000000-617000</f>
        <v>12153500</v>
      </c>
      <c r="G133" s="23"/>
      <c r="H133" s="23"/>
      <c r="I133" s="25"/>
      <c r="J133" s="103">
        <f t="shared" ref="J133:J134" si="39">L133+O133</f>
        <v>0</v>
      </c>
      <c r="K133" s="23"/>
      <c r="L133" s="23"/>
      <c r="M133" s="23"/>
      <c r="N133" s="23"/>
      <c r="O133" s="25"/>
      <c r="P133" s="26">
        <f t="shared" si="35"/>
        <v>12153500</v>
      </c>
      <c r="Q133" s="16"/>
    </row>
    <row r="134" spans="1:18" s="27" customFormat="1" ht="12.75" x14ac:dyDescent="0.2">
      <c r="A134" s="96" t="s">
        <v>273</v>
      </c>
      <c r="B134" s="97" t="s">
        <v>274</v>
      </c>
      <c r="C134" s="97" t="s">
        <v>21</v>
      </c>
      <c r="D134" s="2" t="s">
        <v>279</v>
      </c>
      <c r="E134" s="23">
        <f t="shared" si="36"/>
        <v>283864</v>
      </c>
      <c r="F134" s="23">
        <f>408000+30000-85736-35000-33400</f>
        <v>283864</v>
      </c>
      <c r="G134" s="23"/>
      <c r="H134" s="23"/>
      <c r="I134" s="25"/>
      <c r="J134" s="103">
        <f t="shared" si="39"/>
        <v>134200000</v>
      </c>
      <c r="K134" s="23">
        <f>K136</f>
        <v>134200000</v>
      </c>
      <c r="L134" s="23">
        <f t="shared" ref="L134:O134" si="40">L136</f>
        <v>0</v>
      </c>
      <c r="M134" s="23">
        <f t="shared" si="40"/>
        <v>0</v>
      </c>
      <c r="N134" s="23">
        <f t="shared" si="40"/>
        <v>0</v>
      </c>
      <c r="O134" s="25">
        <f t="shared" si="40"/>
        <v>134200000</v>
      </c>
      <c r="P134" s="26">
        <f t="shared" si="35"/>
        <v>134483864</v>
      </c>
      <c r="Q134" s="16"/>
    </row>
    <row r="135" spans="1:18" s="27" customFormat="1" ht="12.75" x14ac:dyDescent="0.2">
      <c r="A135" s="96"/>
      <c r="B135" s="97"/>
      <c r="C135" s="97"/>
      <c r="D135" s="2" t="s">
        <v>449</v>
      </c>
      <c r="E135" s="23">
        <f t="shared" si="36"/>
        <v>0</v>
      </c>
      <c r="F135" s="23"/>
      <c r="G135" s="23"/>
      <c r="H135" s="23"/>
      <c r="I135" s="25"/>
      <c r="J135" s="103"/>
      <c r="K135" s="23"/>
      <c r="L135" s="23"/>
      <c r="M135" s="23"/>
      <c r="N135" s="23"/>
      <c r="O135" s="25"/>
      <c r="P135" s="26">
        <f t="shared" si="35"/>
        <v>0</v>
      </c>
      <c r="Q135" s="16"/>
    </row>
    <row r="136" spans="1:18" s="27" customFormat="1" ht="36" x14ac:dyDescent="0.2">
      <c r="A136" s="96"/>
      <c r="B136" s="97"/>
      <c r="C136" s="97"/>
      <c r="D136" s="2" t="s">
        <v>478</v>
      </c>
      <c r="E136" s="23">
        <f t="shared" si="36"/>
        <v>0</v>
      </c>
      <c r="F136" s="23"/>
      <c r="G136" s="23"/>
      <c r="H136" s="23"/>
      <c r="I136" s="25"/>
      <c r="J136" s="103">
        <f>L136+O136</f>
        <v>134200000</v>
      </c>
      <c r="K136" s="23">
        <v>134200000</v>
      </c>
      <c r="L136" s="23"/>
      <c r="M136" s="23"/>
      <c r="N136" s="23"/>
      <c r="O136" s="25">
        <v>134200000</v>
      </c>
      <c r="P136" s="26">
        <f t="shared" si="35"/>
        <v>134200000</v>
      </c>
      <c r="Q136" s="16"/>
    </row>
    <row r="137" spans="1:18" s="27" customFormat="1" ht="48" x14ac:dyDescent="0.2">
      <c r="A137" s="96" t="s">
        <v>543</v>
      </c>
      <c r="B137" s="97" t="s">
        <v>84</v>
      </c>
      <c r="C137" s="97" t="s">
        <v>35</v>
      </c>
      <c r="D137" s="38" t="s">
        <v>85</v>
      </c>
      <c r="E137" s="23">
        <f t="shared" si="36"/>
        <v>95200</v>
      </c>
      <c r="F137" s="23">
        <f>99900-4700</f>
        <v>95200</v>
      </c>
      <c r="G137" s="23"/>
      <c r="H137" s="23"/>
      <c r="I137" s="25"/>
      <c r="J137" s="103"/>
      <c r="K137" s="23"/>
      <c r="L137" s="23"/>
      <c r="M137" s="23"/>
      <c r="N137" s="23"/>
      <c r="O137" s="25"/>
      <c r="P137" s="26">
        <f t="shared" si="35"/>
        <v>95200</v>
      </c>
      <c r="Q137" s="16"/>
    </row>
    <row r="138" spans="1:18" s="27" customFormat="1" ht="97.5" customHeight="1" x14ac:dyDescent="0.2">
      <c r="A138" s="96" t="s">
        <v>252</v>
      </c>
      <c r="B138" s="97" t="s">
        <v>249</v>
      </c>
      <c r="C138" s="97" t="s">
        <v>25</v>
      </c>
      <c r="D138" s="2" t="s">
        <v>250</v>
      </c>
      <c r="E138" s="23">
        <f t="shared" si="24"/>
        <v>0</v>
      </c>
      <c r="F138" s="23"/>
      <c r="G138" s="23"/>
      <c r="H138" s="23"/>
      <c r="I138" s="25"/>
      <c r="J138" s="103">
        <v>1400000</v>
      </c>
      <c r="K138" s="23"/>
      <c r="L138" s="23">
        <v>1400000</v>
      </c>
      <c r="M138" s="23"/>
      <c r="N138" s="23"/>
      <c r="O138" s="25"/>
      <c r="P138" s="26">
        <f t="shared" si="35"/>
        <v>1400000</v>
      </c>
      <c r="Q138" s="16"/>
    </row>
    <row r="139" spans="1:18" s="17" customFormat="1" ht="25.5" x14ac:dyDescent="0.2">
      <c r="A139" s="33" t="s">
        <v>109</v>
      </c>
      <c r="B139" s="19"/>
      <c r="C139" s="19"/>
      <c r="D139" s="20" t="s">
        <v>294</v>
      </c>
      <c r="E139" s="21">
        <f>E141+E142+E145+E146+E147+E148+E150+E154+E155+E162+E173+E176+E179+E149+E156+E161+E153+E180+E157</f>
        <v>700715198.65999997</v>
      </c>
      <c r="F139" s="21">
        <f>F141+F142+F145+F146+F147+F148+F150+F154+F155+F162+F173+F176+F179+F149+F156+F161+F153+F180+F157</f>
        <v>700715198.65999997</v>
      </c>
      <c r="G139" s="21">
        <f t="shared" ref="G139:I139" si="41">G141+G142+G145+G146+G147+G148+G150+G154+G155+G162+G173+G176+G179+G149+G156+G161+G153+G180+G157</f>
        <v>54604180</v>
      </c>
      <c r="H139" s="21">
        <f t="shared" si="41"/>
        <v>2639219</v>
      </c>
      <c r="I139" s="21">
        <f t="shared" si="41"/>
        <v>0</v>
      </c>
      <c r="J139" s="104">
        <f>J141+J142+J145+J146+J147+J148+J150+J154+J155+J162+J173+J176+J179+J149+J156+J161+J163+J169+J158+J159+J160</f>
        <v>290227272</v>
      </c>
      <c r="K139" s="21">
        <f>K141+K142+K145+K146+K147+K148+K150+K154+K155+K162+K173+K176+K179+K149+K156+K161+K163+K169+K158+K159+K160</f>
        <v>289227272</v>
      </c>
      <c r="L139" s="21">
        <f t="shared" ref="L139:N139" si="42">L141+L142+L145+L146+L147+L148+L150+L154+L155+L162+L173+L176+L179+L149+L156+L161+L163+L169</f>
        <v>1000000</v>
      </c>
      <c r="M139" s="21">
        <f t="shared" si="42"/>
        <v>0</v>
      </c>
      <c r="N139" s="21">
        <f t="shared" si="42"/>
        <v>0</v>
      </c>
      <c r="O139" s="22">
        <f>O141+O142+O145+O146+O147+O148+O150+O154+O155+O162+O173+O176+O179+O149+O156+O161+O163+O169+O158+O159+O160</f>
        <v>289227272</v>
      </c>
      <c r="P139" s="24">
        <f>E139+J139</f>
        <v>990942470.65999997</v>
      </c>
      <c r="Q139" s="16"/>
      <c r="R139" s="16"/>
    </row>
    <row r="140" spans="1:18" s="17" customFormat="1" ht="25.5" x14ac:dyDescent="0.2">
      <c r="A140" s="33" t="s">
        <v>128</v>
      </c>
      <c r="B140" s="19"/>
      <c r="C140" s="19"/>
      <c r="D140" s="20" t="s">
        <v>294</v>
      </c>
      <c r="E140" s="41"/>
      <c r="F140" s="41"/>
      <c r="G140" s="41"/>
      <c r="H140" s="41"/>
      <c r="I140" s="42"/>
      <c r="J140" s="103">
        <f t="shared" ref="J140:J144" si="43">L140+O140</f>
        <v>0</v>
      </c>
      <c r="K140" s="23"/>
      <c r="L140" s="21"/>
      <c r="M140" s="21"/>
      <c r="N140" s="21"/>
      <c r="O140" s="22"/>
      <c r="P140" s="24">
        <f t="shared" si="35"/>
        <v>0</v>
      </c>
      <c r="Q140" s="16"/>
      <c r="R140" s="43"/>
    </row>
    <row r="141" spans="1:18" s="27" customFormat="1" ht="36" x14ac:dyDescent="0.2">
      <c r="A141" s="96" t="s">
        <v>121</v>
      </c>
      <c r="B141" s="97" t="s">
        <v>59</v>
      </c>
      <c r="C141" s="97" t="s">
        <v>22</v>
      </c>
      <c r="D141" s="2" t="s">
        <v>412</v>
      </c>
      <c r="E141" s="23">
        <f>F141+I141</f>
        <v>40104400</v>
      </c>
      <c r="F141" s="23">
        <f>31387000+485000+398000+1700000+5634400-20000+520000</f>
        <v>40104400</v>
      </c>
      <c r="G141" s="23">
        <f>23592000-800000+1300000+4548100+460000</f>
        <v>29100100</v>
      </c>
      <c r="H141" s="23">
        <f>1009000+97000-80000-20000+28685+3000</f>
        <v>1037685</v>
      </c>
      <c r="I141" s="25"/>
      <c r="J141" s="103">
        <f t="shared" si="43"/>
        <v>0</v>
      </c>
      <c r="K141" s="23"/>
      <c r="L141" s="23"/>
      <c r="M141" s="23"/>
      <c r="N141" s="23"/>
      <c r="O141" s="25"/>
      <c r="P141" s="26">
        <f t="shared" si="35"/>
        <v>40104400</v>
      </c>
      <c r="Q141" s="16"/>
      <c r="R141" s="45"/>
    </row>
    <row r="142" spans="1:18" s="27" customFormat="1" ht="12.75" x14ac:dyDescent="0.2">
      <c r="A142" s="96" t="s">
        <v>258</v>
      </c>
      <c r="B142" s="97" t="s">
        <v>14</v>
      </c>
      <c r="C142" s="97" t="s">
        <v>15</v>
      </c>
      <c r="D142" s="2" t="s">
        <v>156</v>
      </c>
      <c r="E142" s="23">
        <f t="shared" ref="E142:E180" si="44">F142+I142</f>
        <v>3652900</v>
      </c>
      <c r="F142" s="23">
        <f>F144</f>
        <v>3652900</v>
      </c>
      <c r="G142" s="23"/>
      <c r="H142" s="23"/>
      <c r="I142" s="25"/>
      <c r="J142" s="103">
        <f t="shared" si="43"/>
        <v>0</v>
      </c>
      <c r="K142" s="23"/>
      <c r="L142" s="23"/>
      <c r="M142" s="23"/>
      <c r="N142" s="23"/>
      <c r="O142" s="25"/>
      <c r="P142" s="26">
        <f t="shared" si="35"/>
        <v>3652900</v>
      </c>
      <c r="Q142" s="16"/>
      <c r="R142" s="45"/>
    </row>
    <row r="143" spans="1:18" s="27" customFormat="1" ht="12.75" x14ac:dyDescent="0.2">
      <c r="A143" s="96"/>
      <c r="B143" s="97"/>
      <c r="C143" s="97"/>
      <c r="D143" s="2" t="s">
        <v>169</v>
      </c>
      <c r="E143" s="23"/>
      <c r="F143" s="23"/>
      <c r="G143" s="23"/>
      <c r="H143" s="23"/>
      <c r="I143" s="25"/>
      <c r="J143" s="103">
        <f t="shared" si="43"/>
        <v>0</v>
      </c>
      <c r="K143" s="23"/>
      <c r="L143" s="23"/>
      <c r="M143" s="23"/>
      <c r="N143" s="23"/>
      <c r="O143" s="25"/>
      <c r="P143" s="26">
        <f t="shared" si="35"/>
        <v>0</v>
      </c>
      <c r="Q143" s="16"/>
      <c r="R143" s="45"/>
    </row>
    <row r="144" spans="1:18" s="27" customFormat="1" ht="12.75" x14ac:dyDescent="0.2">
      <c r="A144" s="96"/>
      <c r="B144" s="97"/>
      <c r="C144" s="97"/>
      <c r="D144" s="28" t="s">
        <v>286</v>
      </c>
      <c r="E144" s="23">
        <f t="shared" si="44"/>
        <v>3652900</v>
      </c>
      <c r="F144" s="23">
        <f>2952900+700000</f>
        <v>3652900</v>
      </c>
      <c r="G144" s="23"/>
      <c r="H144" s="23"/>
      <c r="I144" s="25"/>
      <c r="J144" s="103">
        <f t="shared" si="43"/>
        <v>0</v>
      </c>
      <c r="K144" s="23"/>
      <c r="L144" s="23"/>
      <c r="M144" s="23"/>
      <c r="N144" s="23"/>
      <c r="O144" s="25"/>
      <c r="P144" s="26">
        <f t="shared" si="35"/>
        <v>3652900</v>
      </c>
      <c r="Q144" s="16"/>
      <c r="R144" s="45"/>
    </row>
    <row r="145" spans="1:18" s="27" customFormat="1" ht="24" x14ac:dyDescent="0.2">
      <c r="A145" s="96" t="s">
        <v>122</v>
      </c>
      <c r="B145" s="97">
        <v>3031</v>
      </c>
      <c r="C145" s="97" t="s">
        <v>45</v>
      </c>
      <c r="D145" s="2" t="s">
        <v>99</v>
      </c>
      <c r="E145" s="23">
        <f t="shared" si="44"/>
        <v>246920</v>
      </c>
      <c r="F145" s="23">
        <f>250000-3080</f>
        <v>246920</v>
      </c>
      <c r="G145" s="23"/>
      <c r="H145" s="23"/>
      <c r="I145" s="25"/>
      <c r="J145" s="103">
        <f t="shared" ref="J145:J258" si="45">L145+O145</f>
        <v>0</v>
      </c>
      <c r="K145" s="23"/>
      <c r="L145" s="23"/>
      <c r="M145" s="23"/>
      <c r="N145" s="23"/>
      <c r="O145" s="25"/>
      <c r="P145" s="26">
        <f t="shared" si="35"/>
        <v>246920</v>
      </c>
      <c r="Q145" s="16"/>
      <c r="R145" s="45"/>
    </row>
    <row r="146" spans="1:18" s="27" customFormat="1" ht="24" x14ac:dyDescent="0.2">
      <c r="A146" s="96" t="s">
        <v>123</v>
      </c>
      <c r="B146" s="97" t="s">
        <v>100</v>
      </c>
      <c r="C146" s="97" t="s">
        <v>23</v>
      </c>
      <c r="D146" s="2" t="s">
        <v>377</v>
      </c>
      <c r="E146" s="23">
        <f t="shared" si="44"/>
        <v>342400</v>
      </c>
      <c r="F146" s="23">
        <f>650000-300000-7600</f>
        <v>342400</v>
      </c>
      <c r="G146" s="23"/>
      <c r="H146" s="23"/>
      <c r="I146" s="25"/>
      <c r="J146" s="103">
        <f t="shared" si="45"/>
        <v>0</v>
      </c>
      <c r="K146" s="23"/>
      <c r="L146" s="23"/>
      <c r="M146" s="23"/>
      <c r="N146" s="23"/>
      <c r="O146" s="25"/>
      <c r="P146" s="26">
        <f t="shared" si="35"/>
        <v>342400</v>
      </c>
      <c r="Q146" s="16"/>
      <c r="R146" s="46"/>
    </row>
    <row r="147" spans="1:18" s="27" customFormat="1" ht="36" x14ac:dyDescent="0.2">
      <c r="A147" s="96" t="s">
        <v>151</v>
      </c>
      <c r="B147" s="97" t="s">
        <v>152</v>
      </c>
      <c r="C147" s="97" t="s">
        <v>23</v>
      </c>
      <c r="D147" s="2" t="s">
        <v>467</v>
      </c>
      <c r="E147" s="23">
        <f t="shared" si="44"/>
        <v>96500000</v>
      </c>
      <c r="F147" s="23">
        <f>78000000+18500000</f>
        <v>96500000</v>
      </c>
      <c r="G147" s="23"/>
      <c r="H147" s="23"/>
      <c r="I147" s="25"/>
      <c r="J147" s="103">
        <f t="shared" si="45"/>
        <v>0</v>
      </c>
      <c r="K147" s="23"/>
      <c r="L147" s="23"/>
      <c r="M147" s="23"/>
      <c r="N147" s="23"/>
      <c r="O147" s="25"/>
      <c r="P147" s="26">
        <f t="shared" si="35"/>
        <v>96500000</v>
      </c>
      <c r="Q147" s="16"/>
      <c r="R147" s="46"/>
    </row>
    <row r="148" spans="1:18" s="27" customFormat="1" ht="24" x14ac:dyDescent="0.2">
      <c r="A148" s="96" t="s">
        <v>153</v>
      </c>
      <c r="B148" s="97" t="s">
        <v>154</v>
      </c>
      <c r="C148" s="97" t="s">
        <v>23</v>
      </c>
      <c r="D148" s="2" t="s">
        <v>7</v>
      </c>
      <c r="E148" s="23">
        <f t="shared" si="44"/>
        <v>1000000</v>
      </c>
      <c r="F148" s="23">
        <v>1000000</v>
      </c>
      <c r="G148" s="23"/>
      <c r="H148" s="23"/>
      <c r="I148" s="25"/>
      <c r="J148" s="103">
        <f t="shared" si="45"/>
        <v>0</v>
      </c>
      <c r="K148" s="23"/>
      <c r="L148" s="23"/>
      <c r="M148" s="23"/>
      <c r="N148" s="23"/>
      <c r="O148" s="25"/>
      <c r="P148" s="26">
        <f t="shared" si="35"/>
        <v>1000000</v>
      </c>
      <c r="Q148" s="16"/>
    </row>
    <row r="149" spans="1:18" s="27" customFormat="1" ht="24" x14ac:dyDescent="0.2">
      <c r="A149" s="96" t="s">
        <v>124</v>
      </c>
      <c r="B149" s="97">
        <v>3050</v>
      </c>
      <c r="C149" s="97" t="s">
        <v>23</v>
      </c>
      <c r="D149" s="2" t="s">
        <v>54</v>
      </c>
      <c r="E149" s="23">
        <f t="shared" si="44"/>
        <v>311900</v>
      </c>
      <c r="F149" s="23">
        <v>311900</v>
      </c>
      <c r="G149" s="23"/>
      <c r="H149" s="23"/>
      <c r="I149" s="25"/>
      <c r="J149" s="103">
        <f t="shared" si="45"/>
        <v>0</v>
      </c>
      <c r="K149" s="23"/>
      <c r="L149" s="23"/>
      <c r="M149" s="23"/>
      <c r="N149" s="23"/>
      <c r="O149" s="25"/>
      <c r="P149" s="26">
        <f t="shared" si="35"/>
        <v>311900</v>
      </c>
      <c r="Q149" s="16"/>
    </row>
    <row r="150" spans="1:18" s="27" customFormat="1" ht="24" x14ac:dyDescent="0.2">
      <c r="A150" s="96" t="s">
        <v>125</v>
      </c>
      <c r="B150" s="97">
        <v>3090</v>
      </c>
      <c r="C150" s="97" t="s">
        <v>45</v>
      </c>
      <c r="D150" s="2" t="s">
        <v>262</v>
      </c>
      <c r="E150" s="23">
        <f>F150+I150</f>
        <v>2427425</v>
      </c>
      <c r="F150" s="23">
        <f>58000+2500000+678+53390-174000-10643</f>
        <v>2427425</v>
      </c>
      <c r="G150" s="23"/>
      <c r="H150" s="23"/>
      <c r="I150" s="25"/>
      <c r="J150" s="103">
        <f t="shared" si="45"/>
        <v>0</v>
      </c>
      <c r="K150" s="23"/>
      <c r="L150" s="23"/>
      <c r="M150" s="23"/>
      <c r="N150" s="23"/>
      <c r="O150" s="25"/>
      <c r="P150" s="26">
        <f t="shared" si="35"/>
        <v>2427425</v>
      </c>
      <c r="Q150" s="16"/>
    </row>
    <row r="151" spans="1:18" s="27" customFormat="1" ht="12.75" x14ac:dyDescent="0.2">
      <c r="A151" s="96"/>
      <c r="B151" s="97"/>
      <c r="C151" s="97"/>
      <c r="D151" s="35" t="s">
        <v>234</v>
      </c>
      <c r="E151" s="23">
        <f t="shared" si="44"/>
        <v>0</v>
      </c>
      <c r="F151" s="23"/>
      <c r="G151" s="23"/>
      <c r="H151" s="23"/>
      <c r="I151" s="25"/>
      <c r="J151" s="103"/>
      <c r="K151" s="23"/>
      <c r="L151" s="23"/>
      <c r="M151" s="23"/>
      <c r="N151" s="23"/>
      <c r="O151" s="25"/>
      <c r="P151" s="26">
        <f t="shared" si="35"/>
        <v>0</v>
      </c>
      <c r="Q151" s="16"/>
    </row>
    <row r="152" spans="1:18" s="27" customFormat="1" ht="12.75" x14ac:dyDescent="0.2">
      <c r="A152" s="96"/>
      <c r="B152" s="97"/>
      <c r="C152" s="97"/>
      <c r="D152" s="35" t="s">
        <v>201</v>
      </c>
      <c r="E152" s="23">
        <f t="shared" si="44"/>
        <v>101425</v>
      </c>
      <c r="F152" s="23">
        <f>58000+678+53390-10643</f>
        <v>101425</v>
      </c>
      <c r="G152" s="23"/>
      <c r="H152" s="23"/>
      <c r="I152" s="25"/>
      <c r="J152" s="103"/>
      <c r="K152" s="23"/>
      <c r="L152" s="23"/>
      <c r="M152" s="23"/>
      <c r="N152" s="23"/>
      <c r="O152" s="25"/>
      <c r="P152" s="26">
        <f t="shared" si="35"/>
        <v>101425</v>
      </c>
      <c r="Q152" s="16"/>
    </row>
    <row r="153" spans="1:18" s="27" customFormat="1" ht="48" x14ac:dyDescent="0.2">
      <c r="A153" s="96" t="s">
        <v>554</v>
      </c>
      <c r="B153" s="97" t="s">
        <v>84</v>
      </c>
      <c r="C153" s="97" t="s">
        <v>35</v>
      </c>
      <c r="D153" s="38" t="s">
        <v>85</v>
      </c>
      <c r="E153" s="23">
        <f t="shared" si="44"/>
        <v>261800</v>
      </c>
      <c r="F153" s="23">
        <f>199800-9400+71400</f>
        <v>261800</v>
      </c>
      <c r="G153" s="23"/>
      <c r="H153" s="23"/>
      <c r="I153" s="25"/>
      <c r="J153" s="103"/>
      <c r="K153" s="23"/>
      <c r="L153" s="23"/>
      <c r="M153" s="23"/>
      <c r="N153" s="23"/>
      <c r="O153" s="25"/>
      <c r="P153" s="26">
        <f t="shared" si="35"/>
        <v>261800</v>
      </c>
      <c r="Q153" s="16"/>
    </row>
    <row r="154" spans="1:18" s="27" customFormat="1" ht="60" x14ac:dyDescent="0.2">
      <c r="A154" s="96" t="s">
        <v>236</v>
      </c>
      <c r="B154" s="97" t="s">
        <v>237</v>
      </c>
      <c r="C154" s="97" t="s">
        <v>47</v>
      </c>
      <c r="D154" s="2" t="s">
        <v>238</v>
      </c>
      <c r="E154" s="23">
        <f t="shared" si="44"/>
        <v>19808000</v>
      </c>
      <c r="F154" s="23">
        <f>10000000+3500000+8000+2000000+1300000+3000000</f>
        <v>19808000</v>
      </c>
      <c r="G154" s="23"/>
      <c r="H154" s="23"/>
      <c r="I154" s="25"/>
      <c r="J154" s="103">
        <f t="shared" si="45"/>
        <v>0</v>
      </c>
      <c r="K154" s="23"/>
      <c r="L154" s="23"/>
      <c r="M154" s="23"/>
      <c r="N154" s="23"/>
      <c r="O154" s="25"/>
      <c r="P154" s="26">
        <f t="shared" si="35"/>
        <v>19808000</v>
      </c>
      <c r="Q154" s="16"/>
    </row>
    <row r="155" spans="1:18" s="27" customFormat="1" ht="62.25" customHeight="1" x14ac:dyDescent="0.2">
      <c r="A155" s="96" t="s">
        <v>224</v>
      </c>
      <c r="B155" s="97" t="s">
        <v>225</v>
      </c>
      <c r="C155" s="97" t="s">
        <v>46</v>
      </c>
      <c r="D155" s="2" t="s">
        <v>223</v>
      </c>
      <c r="E155" s="23">
        <f t="shared" si="44"/>
        <v>32623500</v>
      </c>
      <c r="F155" s="23">
        <f>30000000-3500000-700000-398000-291500-1300000+400000+3000000+1000000+380000+4000000+33000</f>
        <v>32623500</v>
      </c>
      <c r="G155" s="23"/>
      <c r="H155" s="23"/>
      <c r="I155" s="25"/>
      <c r="J155" s="103">
        <f t="shared" si="45"/>
        <v>0</v>
      </c>
      <c r="K155" s="23"/>
      <c r="L155" s="23"/>
      <c r="M155" s="23"/>
      <c r="N155" s="23"/>
      <c r="O155" s="25"/>
      <c r="P155" s="26">
        <f t="shared" si="35"/>
        <v>32623500</v>
      </c>
      <c r="Q155" s="16"/>
    </row>
    <row r="156" spans="1:18" s="27" customFormat="1" ht="36" x14ac:dyDescent="0.2">
      <c r="A156" s="96" t="s">
        <v>403</v>
      </c>
      <c r="B156" s="97" t="s">
        <v>404</v>
      </c>
      <c r="C156" s="97" t="s">
        <v>45</v>
      </c>
      <c r="D156" s="2" t="s">
        <v>405</v>
      </c>
      <c r="E156" s="23">
        <f t="shared" si="44"/>
        <v>749000</v>
      </c>
      <c r="F156" s="23">
        <f>100000+700000-51000</f>
        <v>749000</v>
      </c>
      <c r="G156" s="23"/>
      <c r="H156" s="23"/>
      <c r="I156" s="25"/>
      <c r="J156" s="103"/>
      <c r="K156" s="23"/>
      <c r="L156" s="23"/>
      <c r="M156" s="23"/>
      <c r="N156" s="23"/>
      <c r="O156" s="25"/>
      <c r="P156" s="26">
        <f t="shared" si="35"/>
        <v>749000</v>
      </c>
      <c r="Q156" s="16"/>
    </row>
    <row r="157" spans="1:18" s="27" customFormat="1" ht="51" customHeight="1" x14ac:dyDescent="0.2">
      <c r="A157" s="96" t="s">
        <v>646</v>
      </c>
      <c r="B157" s="97" t="s">
        <v>647</v>
      </c>
      <c r="C157" s="97" t="s">
        <v>49</v>
      </c>
      <c r="D157" s="2" t="s">
        <v>648</v>
      </c>
      <c r="E157" s="23">
        <f t="shared" si="44"/>
        <v>122858.88</v>
      </c>
      <c r="F157" s="23">
        <v>122858.88</v>
      </c>
      <c r="G157" s="23">
        <v>100800</v>
      </c>
      <c r="H157" s="23"/>
      <c r="I157" s="25"/>
      <c r="J157" s="103"/>
      <c r="K157" s="23"/>
      <c r="L157" s="23"/>
      <c r="M157" s="23"/>
      <c r="N157" s="23"/>
      <c r="O157" s="25"/>
      <c r="P157" s="26"/>
      <c r="Q157" s="16"/>
    </row>
    <row r="158" spans="1:18" s="27" customFormat="1" ht="240" x14ac:dyDescent="0.2">
      <c r="A158" s="96" t="s">
        <v>578</v>
      </c>
      <c r="B158" s="97" t="s">
        <v>579</v>
      </c>
      <c r="C158" s="97" t="s">
        <v>46</v>
      </c>
      <c r="D158" s="2" t="s">
        <v>584</v>
      </c>
      <c r="E158" s="23"/>
      <c r="F158" s="23"/>
      <c r="G158" s="23"/>
      <c r="H158" s="23"/>
      <c r="I158" s="25"/>
      <c r="J158" s="103">
        <f t="shared" si="45"/>
        <v>28797062</v>
      </c>
      <c r="K158" s="23">
        <f>21195554+7741137+1-139630</f>
        <v>28797062</v>
      </c>
      <c r="L158" s="23"/>
      <c r="M158" s="23"/>
      <c r="N158" s="23"/>
      <c r="O158" s="25">
        <f>21195554+7741137+1-139630</f>
        <v>28797062</v>
      </c>
      <c r="P158" s="26">
        <f t="shared" si="35"/>
        <v>28797062</v>
      </c>
      <c r="Q158" s="16"/>
    </row>
    <row r="159" spans="1:18" s="27" customFormat="1" ht="240" x14ac:dyDescent="0.2">
      <c r="A159" s="96" t="s">
        <v>580</v>
      </c>
      <c r="B159" s="97" t="s">
        <v>582</v>
      </c>
      <c r="C159" s="97" t="s">
        <v>46</v>
      </c>
      <c r="D159" s="2" t="s">
        <v>585</v>
      </c>
      <c r="E159" s="23"/>
      <c r="F159" s="23"/>
      <c r="G159" s="23"/>
      <c r="H159" s="23"/>
      <c r="I159" s="25"/>
      <c r="J159" s="103">
        <f t="shared" si="45"/>
        <v>241632456</v>
      </c>
      <c r="K159" s="23">
        <f>83336359+153864765+4431332</f>
        <v>241632456</v>
      </c>
      <c r="L159" s="23"/>
      <c r="M159" s="23"/>
      <c r="N159" s="23"/>
      <c r="O159" s="25">
        <f>83336359+153864765+4431332</f>
        <v>241632456</v>
      </c>
      <c r="P159" s="26">
        <f t="shared" si="35"/>
        <v>241632456</v>
      </c>
      <c r="Q159" s="16"/>
    </row>
    <row r="160" spans="1:18" s="27" customFormat="1" ht="168" x14ac:dyDescent="0.2">
      <c r="A160" s="96" t="s">
        <v>581</v>
      </c>
      <c r="B160" s="97" t="s">
        <v>583</v>
      </c>
      <c r="C160" s="97" t="s">
        <v>46</v>
      </c>
      <c r="D160" s="2" t="s">
        <v>586</v>
      </c>
      <c r="E160" s="23"/>
      <c r="F160" s="23"/>
      <c r="G160" s="23"/>
      <c r="H160" s="23"/>
      <c r="I160" s="25"/>
      <c r="J160" s="103">
        <f t="shared" si="45"/>
        <v>18797754</v>
      </c>
      <c r="K160" s="23">
        <f>8055938+10741816</f>
        <v>18797754</v>
      </c>
      <c r="L160" s="23"/>
      <c r="M160" s="23"/>
      <c r="N160" s="23"/>
      <c r="O160" s="25">
        <f>8055938+10741816</f>
        <v>18797754</v>
      </c>
      <c r="P160" s="26">
        <f t="shared" si="35"/>
        <v>18797754</v>
      </c>
      <c r="Q160" s="16"/>
    </row>
    <row r="161" spans="1:18" s="27" customFormat="1" ht="36" x14ac:dyDescent="0.2">
      <c r="A161" s="96" t="s">
        <v>415</v>
      </c>
      <c r="B161" s="97" t="s">
        <v>416</v>
      </c>
      <c r="C161" s="97" t="s">
        <v>23</v>
      </c>
      <c r="D161" s="2" t="s">
        <v>417</v>
      </c>
      <c r="E161" s="23">
        <f t="shared" si="44"/>
        <v>0</v>
      </c>
      <c r="F161" s="23">
        <f>200000-198000-2000</f>
        <v>0</v>
      </c>
      <c r="G161" s="23"/>
      <c r="H161" s="23"/>
      <c r="I161" s="25"/>
      <c r="J161" s="103">
        <f t="shared" si="45"/>
        <v>0</v>
      </c>
      <c r="K161" s="23"/>
      <c r="L161" s="23"/>
      <c r="M161" s="23"/>
      <c r="N161" s="23"/>
      <c r="O161" s="25"/>
      <c r="P161" s="26">
        <f t="shared" si="35"/>
        <v>0</v>
      </c>
      <c r="Q161" s="16"/>
    </row>
    <row r="162" spans="1:18" s="27" customFormat="1" ht="18" customHeight="1" x14ac:dyDescent="0.2">
      <c r="A162" s="96" t="s">
        <v>229</v>
      </c>
      <c r="B162" s="97" t="s">
        <v>230</v>
      </c>
      <c r="C162" s="97"/>
      <c r="D162" s="2" t="s">
        <v>263</v>
      </c>
      <c r="E162" s="23">
        <f>F162+I162</f>
        <v>467577666</v>
      </c>
      <c r="F162" s="23">
        <f>F163+F169</f>
        <v>467577666</v>
      </c>
      <c r="G162" s="23">
        <f>G163+G169</f>
        <v>8628800</v>
      </c>
      <c r="H162" s="23">
        <f t="shared" ref="H162" si="46">H163+H169</f>
        <v>791634</v>
      </c>
      <c r="I162" s="25">
        <f t="shared" ref="I162" si="47">I165+I166+I167+I169</f>
        <v>0</v>
      </c>
      <c r="J162" s="103">
        <f t="shared" si="45"/>
        <v>0</v>
      </c>
      <c r="K162" s="23"/>
      <c r="L162" s="23"/>
      <c r="M162" s="23"/>
      <c r="N162" s="23"/>
      <c r="O162" s="25"/>
      <c r="P162" s="26">
        <f t="shared" si="35"/>
        <v>467577666</v>
      </c>
      <c r="Q162" s="16"/>
    </row>
    <row r="163" spans="1:18" s="27" customFormat="1" ht="24" x14ac:dyDescent="0.2">
      <c r="A163" s="96" t="s">
        <v>226</v>
      </c>
      <c r="B163" s="97" t="s">
        <v>227</v>
      </c>
      <c r="C163" s="97" t="s">
        <v>49</v>
      </c>
      <c r="D163" s="2" t="s">
        <v>228</v>
      </c>
      <c r="E163" s="23">
        <f>F163+I163</f>
        <v>17441256</v>
      </c>
      <c r="F163" s="23">
        <f>F165+F166+F167+F168</f>
        <v>17441256</v>
      </c>
      <c r="G163" s="23">
        <f>G165+G166+G167+G168</f>
        <v>8628800</v>
      </c>
      <c r="H163" s="23">
        <f>H165+H166+H167+H168</f>
        <v>791634</v>
      </c>
      <c r="I163" s="25">
        <f>I165+I166+I167+I168</f>
        <v>0</v>
      </c>
      <c r="J163" s="103">
        <f t="shared" si="45"/>
        <v>0</v>
      </c>
      <c r="K163" s="23">
        <f t="shared" ref="K163:O163" si="48">K165+K166+K167+K168</f>
        <v>0</v>
      </c>
      <c r="L163" s="23">
        <f t="shared" si="48"/>
        <v>0</v>
      </c>
      <c r="M163" s="23">
        <f t="shared" si="48"/>
        <v>0</v>
      </c>
      <c r="N163" s="23">
        <f t="shared" si="48"/>
        <v>0</v>
      </c>
      <c r="O163" s="25">
        <f t="shared" si="48"/>
        <v>0</v>
      </c>
      <c r="P163" s="26">
        <f t="shared" si="35"/>
        <v>17441256</v>
      </c>
      <c r="Q163" s="16"/>
    </row>
    <row r="164" spans="1:18" s="27" customFormat="1" ht="12.75" x14ac:dyDescent="0.2">
      <c r="A164" s="96"/>
      <c r="B164" s="97"/>
      <c r="C164" s="97"/>
      <c r="D164" s="35" t="s">
        <v>234</v>
      </c>
      <c r="E164" s="23"/>
      <c r="F164" s="23"/>
      <c r="G164" s="23"/>
      <c r="H164" s="23"/>
      <c r="I164" s="25"/>
      <c r="J164" s="103">
        <f t="shared" si="45"/>
        <v>0</v>
      </c>
      <c r="K164" s="23"/>
      <c r="L164" s="23"/>
      <c r="M164" s="23"/>
      <c r="N164" s="23"/>
      <c r="O164" s="25"/>
      <c r="P164" s="26">
        <f t="shared" si="35"/>
        <v>0</v>
      </c>
      <c r="Q164" s="16"/>
    </row>
    <row r="165" spans="1:18" s="27" customFormat="1" ht="12.75" x14ac:dyDescent="0.2">
      <c r="A165" s="96"/>
      <c r="B165" s="97"/>
      <c r="C165" s="97"/>
      <c r="D165" s="35" t="s">
        <v>435</v>
      </c>
      <c r="E165" s="23">
        <f t="shared" si="44"/>
        <v>550000</v>
      </c>
      <c r="F165" s="23">
        <v>550000</v>
      </c>
      <c r="G165" s="23"/>
      <c r="H165" s="23"/>
      <c r="I165" s="25"/>
      <c r="J165" s="103">
        <f t="shared" si="45"/>
        <v>0</v>
      </c>
      <c r="K165" s="23"/>
      <c r="L165" s="23"/>
      <c r="M165" s="23"/>
      <c r="N165" s="23"/>
      <c r="O165" s="25"/>
      <c r="P165" s="26">
        <f t="shared" si="35"/>
        <v>550000</v>
      </c>
      <c r="Q165" s="16"/>
    </row>
    <row r="166" spans="1:18" s="27" customFormat="1" ht="24" x14ac:dyDescent="0.2">
      <c r="A166" s="96"/>
      <c r="B166" s="97"/>
      <c r="C166" s="97"/>
      <c r="D166" s="35" t="s">
        <v>202</v>
      </c>
      <c r="E166" s="23">
        <f t="shared" si="44"/>
        <v>2545700</v>
      </c>
      <c r="F166" s="23">
        <f>2518700+27000</f>
        <v>2545700</v>
      </c>
      <c r="G166" s="23">
        <f>1360000-44100</f>
        <v>1315900</v>
      </c>
      <c r="H166" s="23">
        <f>260000-83000+8500</f>
        <v>185500</v>
      </c>
      <c r="I166" s="25"/>
      <c r="J166" s="103">
        <f t="shared" si="45"/>
        <v>0</v>
      </c>
      <c r="K166" s="23"/>
      <c r="L166" s="23"/>
      <c r="M166" s="23"/>
      <c r="N166" s="23"/>
      <c r="O166" s="25"/>
      <c r="P166" s="26">
        <f t="shared" si="35"/>
        <v>2545700</v>
      </c>
      <c r="Q166" s="16"/>
    </row>
    <row r="167" spans="1:18" s="27" customFormat="1" ht="12.75" x14ac:dyDescent="0.2">
      <c r="A167" s="96"/>
      <c r="B167" s="97"/>
      <c r="C167" s="97"/>
      <c r="D167" s="35" t="s">
        <v>203</v>
      </c>
      <c r="E167" s="23">
        <f t="shared" si="44"/>
        <v>4655140</v>
      </c>
      <c r="F167" s="23">
        <f>4375000+126700+105000+20000+50000-21560</f>
        <v>4655140</v>
      </c>
      <c r="G167" s="23">
        <f>2937200+59000</f>
        <v>2996200</v>
      </c>
      <c r="H167" s="23">
        <f>356054+22000+3100-34000</f>
        <v>347154</v>
      </c>
      <c r="I167" s="25"/>
      <c r="J167" s="103">
        <f t="shared" si="45"/>
        <v>0</v>
      </c>
      <c r="K167" s="23"/>
      <c r="L167" s="23"/>
      <c r="M167" s="23"/>
      <c r="N167" s="23"/>
      <c r="O167" s="25"/>
      <c r="P167" s="26">
        <f t="shared" si="35"/>
        <v>4655140</v>
      </c>
      <c r="Q167" s="16"/>
    </row>
    <row r="168" spans="1:18" s="27" customFormat="1" ht="12.75" x14ac:dyDescent="0.2">
      <c r="A168" s="96"/>
      <c r="B168" s="97"/>
      <c r="C168" s="97"/>
      <c r="D168" s="35" t="s">
        <v>443</v>
      </c>
      <c r="E168" s="23">
        <f t="shared" si="44"/>
        <v>9690416</v>
      </c>
      <c r="F168" s="23">
        <f>8109581+283200+99000+90000+41085+99600+588900+99200+223000+180000+100000+90000-9150-24000-280000</f>
        <v>9690416</v>
      </c>
      <c r="G168" s="23">
        <f>4517700+145000-200000-171000+25000</f>
        <v>4316700</v>
      </c>
      <c r="H168" s="23">
        <f>234000+75800+5000-23820-81000+49000</f>
        <v>258980</v>
      </c>
      <c r="I168" s="25"/>
      <c r="J168" s="103">
        <f t="shared" si="45"/>
        <v>0</v>
      </c>
      <c r="K168" s="23">
        <f>423285-283200-140085</f>
        <v>0</v>
      </c>
      <c r="L168" s="23"/>
      <c r="M168" s="23"/>
      <c r="N168" s="23"/>
      <c r="O168" s="25">
        <f>423285-283200-140085</f>
        <v>0</v>
      </c>
      <c r="P168" s="26">
        <f t="shared" si="35"/>
        <v>9690416</v>
      </c>
      <c r="Q168" s="16"/>
    </row>
    <row r="169" spans="1:18" s="27" customFormat="1" ht="24" x14ac:dyDescent="0.2">
      <c r="A169" s="96" t="s">
        <v>231</v>
      </c>
      <c r="B169" s="97" t="s">
        <v>232</v>
      </c>
      <c r="C169" s="97" t="s">
        <v>49</v>
      </c>
      <c r="D169" s="2" t="s">
        <v>233</v>
      </c>
      <c r="E169" s="23">
        <f>F169+I169</f>
        <v>450136410</v>
      </c>
      <c r="F169" s="23">
        <f>F171+F172</f>
        <v>450136410</v>
      </c>
      <c r="G169" s="23">
        <f>G171+G172</f>
        <v>0</v>
      </c>
      <c r="H169" s="23">
        <f>H171+H172</f>
        <v>0</v>
      </c>
      <c r="I169" s="25">
        <f>I171+I172</f>
        <v>0</v>
      </c>
      <c r="J169" s="103">
        <f t="shared" si="45"/>
        <v>0</v>
      </c>
      <c r="K169" s="23"/>
      <c r="L169" s="23"/>
      <c r="M169" s="23"/>
      <c r="N169" s="23"/>
      <c r="O169" s="25"/>
      <c r="P169" s="26">
        <f t="shared" si="35"/>
        <v>450136410</v>
      </c>
      <c r="Q169" s="16"/>
      <c r="R169" s="46"/>
    </row>
    <row r="170" spans="1:18" s="27" customFormat="1" ht="12.75" x14ac:dyDescent="0.2">
      <c r="A170" s="96"/>
      <c r="B170" s="97"/>
      <c r="C170" s="97"/>
      <c r="D170" s="35" t="s">
        <v>234</v>
      </c>
      <c r="E170" s="23"/>
      <c r="F170" s="23"/>
      <c r="G170" s="23"/>
      <c r="H170" s="23"/>
      <c r="I170" s="25"/>
      <c r="J170" s="103">
        <f t="shared" si="45"/>
        <v>0</v>
      </c>
      <c r="K170" s="23"/>
      <c r="L170" s="23"/>
      <c r="M170" s="105"/>
      <c r="N170" s="105"/>
      <c r="O170" s="44"/>
      <c r="P170" s="26">
        <f t="shared" si="35"/>
        <v>0</v>
      </c>
      <c r="Q170" s="16"/>
    </row>
    <row r="171" spans="1:18" s="27" customFormat="1" ht="12.75" x14ac:dyDescent="0.2">
      <c r="A171" s="96"/>
      <c r="B171" s="97"/>
      <c r="C171" s="97"/>
      <c r="D171" s="35" t="s">
        <v>235</v>
      </c>
      <c r="E171" s="23">
        <f t="shared" si="44"/>
        <v>449889250</v>
      </c>
      <c r="F171" s="23">
        <f>293424100+4063950+100000-8000+40000000+93100-180000-500000-500000-500000-90000+395000+485900+10500000+500000-500000-400000-500000-600000+46000000+43000000+800000-600000-1000000+49900+8900000-90000-400000-300000+49900-200000+935500+70000+6000000+389900+500000</f>
        <v>449889250</v>
      </c>
      <c r="G171" s="23"/>
      <c r="H171" s="23"/>
      <c r="I171" s="25"/>
      <c r="J171" s="103">
        <f t="shared" si="45"/>
        <v>0</v>
      </c>
      <c r="K171" s="23"/>
      <c r="L171" s="23"/>
      <c r="M171" s="105"/>
      <c r="N171" s="105"/>
      <c r="O171" s="44"/>
      <c r="P171" s="26">
        <f t="shared" si="35"/>
        <v>449889250</v>
      </c>
      <c r="Q171" s="16"/>
    </row>
    <row r="172" spans="1:18" s="27" customFormat="1" ht="12.75" x14ac:dyDescent="0.2">
      <c r="A172" s="96"/>
      <c r="B172" s="97"/>
      <c r="C172" s="97"/>
      <c r="D172" s="35" t="s">
        <v>201</v>
      </c>
      <c r="E172" s="23">
        <f t="shared" si="44"/>
        <v>247160</v>
      </c>
      <c r="F172" s="23">
        <f>67160+216000-36000</f>
        <v>247160</v>
      </c>
      <c r="G172" s="23"/>
      <c r="H172" s="23"/>
      <c r="I172" s="25"/>
      <c r="J172" s="103">
        <f t="shared" si="45"/>
        <v>0</v>
      </c>
      <c r="K172" s="23"/>
      <c r="L172" s="23"/>
      <c r="M172" s="105"/>
      <c r="N172" s="105"/>
      <c r="O172" s="44"/>
      <c r="P172" s="26">
        <f t="shared" si="35"/>
        <v>247160</v>
      </c>
      <c r="Q172" s="16"/>
    </row>
    <row r="173" spans="1:18" s="27" customFormat="1" ht="45.75" customHeight="1" x14ac:dyDescent="0.2">
      <c r="A173" s="96" t="s">
        <v>126</v>
      </c>
      <c r="B173" s="97">
        <v>3104</v>
      </c>
      <c r="C173" s="97" t="s">
        <v>48</v>
      </c>
      <c r="D173" s="2" t="s">
        <v>8</v>
      </c>
      <c r="E173" s="23">
        <f t="shared" si="44"/>
        <v>20233140</v>
      </c>
      <c r="F173" s="23">
        <f>17856300+250000+250000+250000+199600+250000+250000+250000-100000+300000+300000+200000-130000+150000+100000-76000-22760-44000</f>
        <v>20233140</v>
      </c>
      <c r="G173" s="23">
        <f>12500000-100000-270000-22760-5500</f>
        <v>12101740</v>
      </c>
      <c r="H173" s="23">
        <f>692300-130000+40000</f>
        <v>602300</v>
      </c>
      <c r="I173" s="25"/>
      <c r="J173" s="103">
        <f t="shared" si="45"/>
        <v>0</v>
      </c>
      <c r="K173" s="23"/>
      <c r="L173" s="23"/>
      <c r="M173" s="105"/>
      <c r="N173" s="105"/>
      <c r="O173" s="44"/>
      <c r="P173" s="26">
        <f t="shared" si="35"/>
        <v>20233140</v>
      </c>
      <c r="Q173" s="16"/>
    </row>
    <row r="174" spans="1:18" s="27" customFormat="1" ht="15" customHeight="1" x14ac:dyDescent="0.2">
      <c r="A174" s="96"/>
      <c r="B174" s="97"/>
      <c r="C174" s="35"/>
      <c r="D174" s="35" t="s">
        <v>234</v>
      </c>
      <c r="E174" s="23">
        <f t="shared" si="44"/>
        <v>0</v>
      </c>
      <c r="F174" s="23"/>
      <c r="G174" s="23"/>
      <c r="H174" s="23"/>
      <c r="I174" s="25"/>
      <c r="J174" s="103"/>
      <c r="K174" s="23"/>
      <c r="L174" s="23"/>
      <c r="M174" s="105"/>
      <c r="N174" s="105"/>
      <c r="O174" s="44"/>
      <c r="P174" s="26">
        <f t="shared" si="35"/>
        <v>0</v>
      </c>
      <c r="Q174" s="16"/>
    </row>
    <row r="175" spans="1:18" s="27" customFormat="1" ht="25.5" customHeight="1" x14ac:dyDescent="0.2">
      <c r="A175" s="96"/>
      <c r="B175" s="97"/>
      <c r="C175" s="35"/>
      <c r="D175" s="35" t="s">
        <v>201</v>
      </c>
      <c r="E175" s="23">
        <f t="shared" si="44"/>
        <v>199600</v>
      </c>
      <c r="F175" s="23">
        <v>199600</v>
      </c>
      <c r="G175" s="23"/>
      <c r="H175" s="23"/>
      <c r="I175" s="25"/>
      <c r="J175" s="103"/>
      <c r="K175" s="23"/>
      <c r="L175" s="23"/>
      <c r="M175" s="105"/>
      <c r="N175" s="105"/>
      <c r="O175" s="44"/>
      <c r="P175" s="26">
        <f t="shared" si="35"/>
        <v>199600</v>
      </c>
      <c r="Q175" s="16"/>
    </row>
    <row r="176" spans="1:18" s="27" customFormat="1" ht="24" x14ac:dyDescent="0.2">
      <c r="A176" s="96" t="s">
        <v>127</v>
      </c>
      <c r="B176" s="97" t="s">
        <v>101</v>
      </c>
      <c r="C176" s="97" t="s">
        <v>35</v>
      </c>
      <c r="D176" s="2" t="s">
        <v>376</v>
      </c>
      <c r="E176" s="23">
        <f t="shared" si="44"/>
        <v>10065830</v>
      </c>
      <c r="F176" s="23">
        <f>6571800+750000+99200+250000+250000+250000+300000+99800+98000+255000+300000+56200+200000+23000+150000+49900+130000+100000+120000+35000-22070</f>
        <v>10065830</v>
      </c>
      <c r="G176" s="23">
        <f>4405000+30000+200000+15300+23000-560</f>
        <v>4672740</v>
      </c>
      <c r="H176" s="23">
        <f>197000+10600</f>
        <v>207600</v>
      </c>
      <c r="I176" s="25"/>
      <c r="J176" s="103">
        <f>L176+O176</f>
        <v>0</v>
      </c>
      <c r="K176" s="23"/>
      <c r="L176" s="23"/>
      <c r="M176" s="105"/>
      <c r="N176" s="105"/>
      <c r="O176" s="44"/>
      <c r="P176" s="26">
        <f t="shared" si="35"/>
        <v>10065830</v>
      </c>
      <c r="Q176" s="16"/>
    </row>
    <row r="177" spans="1:18" s="27" customFormat="1" ht="12.75" x14ac:dyDescent="0.2">
      <c r="A177" s="96"/>
      <c r="B177" s="97"/>
      <c r="C177" s="97"/>
      <c r="D177" s="2" t="s">
        <v>329</v>
      </c>
      <c r="E177" s="23"/>
      <c r="F177" s="23"/>
      <c r="G177" s="23"/>
      <c r="H177" s="23"/>
      <c r="I177" s="25"/>
      <c r="J177" s="103"/>
      <c r="K177" s="23"/>
      <c r="L177" s="23"/>
      <c r="M177" s="105"/>
      <c r="N177" s="105"/>
      <c r="O177" s="44"/>
      <c r="P177" s="26">
        <f t="shared" si="35"/>
        <v>0</v>
      </c>
      <c r="Q177" s="16"/>
    </row>
    <row r="178" spans="1:18" s="27" customFormat="1" ht="24" x14ac:dyDescent="0.2">
      <c r="A178" s="96"/>
      <c r="B178" s="97"/>
      <c r="C178" s="97"/>
      <c r="D178" s="35" t="s">
        <v>409</v>
      </c>
      <c r="E178" s="23">
        <f t="shared" si="44"/>
        <v>3863381</v>
      </c>
      <c r="F178" s="23">
        <f>3698551+166000-920-250</f>
        <v>3863381</v>
      </c>
      <c r="G178" s="23">
        <f>105000-19700-560</f>
        <v>84740</v>
      </c>
      <c r="H178" s="23"/>
      <c r="I178" s="25"/>
      <c r="J178" s="103">
        <f t="shared" si="45"/>
        <v>0</v>
      </c>
      <c r="K178" s="23"/>
      <c r="L178" s="23"/>
      <c r="M178" s="105"/>
      <c r="N178" s="105"/>
      <c r="O178" s="44"/>
      <c r="P178" s="26">
        <f t="shared" si="35"/>
        <v>3863381</v>
      </c>
      <c r="Q178" s="16"/>
    </row>
    <row r="179" spans="1:18" s="27" customFormat="1" ht="96" x14ac:dyDescent="0.2">
      <c r="A179" s="96" t="s">
        <v>253</v>
      </c>
      <c r="B179" s="97" t="s">
        <v>249</v>
      </c>
      <c r="C179" s="97" t="s">
        <v>25</v>
      </c>
      <c r="D179" s="2" t="s">
        <v>250</v>
      </c>
      <c r="E179" s="23">
        <f t="shared" si="44"/>
        <v>0</v>
      </c>
      <c r="F179" s="23"/>
      <c r="G179" s="23"/>
      <c r="H179" s="23"/>
      <c r="I179" s="25"/>
      <c r="J179" s="103">
        <f t="shared" si="45"/>
        <v>1000000</v>
      </c>
      <c r="K179" s="23"/>
      <c r="L179" s="23">
        <v>1000000</v>
      </c>
      <c r="M179" s="105"/>
      <c r="N179" s="105"/>
      <c r="O179" s="44"/>
      <c r="P179" s="26">
        <f t="shared" si="35"/>
        <v>1000000</v>
      </c>
      <c r="Q179" s="16"/>
    </row>
    <row r="180" spans="1:18" s="27" customFormat="1" ht="55.5" customHeight="1" x14ac:dyDescent="0.2">
      <c r="A180" s="47" t="s">
        <v>555</v>
      </c>
      <c r="B180" s="48" t="s">
        <v>556</v>
      </c>
      <c r="C180" s="48" t="s">
        <v>23</v>
      </c>
      <c r="D180" s="49" t="s">
        <v>557</v>
      </c>
      <c r="E180" s="23">
        <f t="shared" si="44"/>
        <v>4687458.78</v>
      </c>
      <c r="F180" s="23">
        <f>225000+2804080.3-4670.5+737181.35+466723.76+160000+30000+183143.87+61000+25000</f>
        <v>4687458.78</v>
      </c>
      <c r="G180" s="23"/>
      <c r="H180" s="23"/>
      <c r="I180" s="25"/>
      <c r="J180" s="103"/>
      <c r="K180" s="23"/>
      <c r="L180" s="23"/>
      <c r="M180" s="105"/>
      <c r="N180" s="105"/>
      <c r="O180" s="44"/>
      <c r="P180" s="26">
        <f t="shared" si="35"/>
        <v>4687458.78</v>
      </c>
      <c r="Q180" s="16"/>
    </row>
    <row r="181" spans="1:18" s="17" customFormat="1" ht="25.5" x14ac:dyDescent="0.2">
      <c r="A181" s="33" t="s">
        <v>110</v>
      </c>
      <c r="B181" s="19"/>
      <c r="C181" s="19"/>
      <c r="D181" s="20" t="s">
        <v>296</v>
      </c>
      <c r="E181" s="21">
        <f>E183+E190+E185+E184+E189</f>
        <v>8670700</v>
      </c>
      <c r="F181" s="21">
        <f t="shared" ref="F181:H181" si="49">F183+F190+F185+F184+F189</f>
        <v>8670700</v>
      </c>
      <c r="G181" s="21">
        <f>G183+G190+G185+G184+G189</f>
        <v>5497300</v>
      </c>
      <c r="H181" s="21">
        <f t="shared" si="49"/>
        <v>285700</v>
      </c>
      <c r="I181" s="22">
        <f t="shared" ref="I181" si="50">I183+I190+I185</f>
        <v>0</v>
      </c>
      <c r="J181" s="104">
        <f>L181+O181</f>
        <v>17538560</v>
      </c>
      <c r="K181" s="21">
        <f>SUM(K182:K190)</f>
        <v>15688560</v>
      </c>
      <c r="L181" s="21">
        <f>SUM(L182:L190)</f>
        <v>1850000</v>
      </c>
      <c r="M181" s="21">
        <f t="shared" ref="M181:N181" si="51">SUM(M182:M190)</f>
        <v>0</v>
      </c>
      <c r="N181" s="21">
        <f t="shared" si="51"/>
        <v>0</v>
      </c>
      <c r="O181" s="22">
        <f>SUM(O182:O190)</f>
        <v>15688560</v>
      </c>
      <c r="P181" s="24">
        <f>E181+J181</f>
        <v>26209260</v>
      </c>
      <c r="Q181" s="16"/>
      <c r="R181" s="16"/>
    </row>
    <row r="182" spans="1:18" s="17" customFormat="1" ht="25.5" x14ac:dyDescent="0.2">
      <c r="A182" s="33" t="s">
        <v>140</v>
      </c>
      <c r="B182" s="19"/>
      <c r="C182" s="19"/>
      <c r="D182" s="20" t="s">
        <v>296</v>
      </c>
      <c r="E182" s="21"/>
      <c r="F182" s="21"/>
      <c r="G182" s="21"/>
      <c r="H182" s="21"/>
      <c r="I182" s="22"/>
      <c r="J182" s="106"/>
      <c r="K182" s="105"/>
      <c r="L182" s="41"/>
      <c r="M182" s="41"/>
      <c r="N182" s="41"/>
      <c r="O182" s="42"/>
      <c r="P182" s="26">
        <f t="shared" si="35"/>
        <v>0</v>
      </c>
      <c r="Q182" s="16"/>
    </row>
    <row r="183" spans="1:18" s="27" customFormat="1" ht="36" x14ac:dyDescent="0.2">
      <c r="A183" s="96" t="s">
        <v>141</v>
      </c>
      <c r="B183" s="97" t="s">
        <v>59</v>
      </c>
      <c r="C183" s="97" t="s">
        <v>22</v>
      </c>
      <c r="D183" s="2" t="s">
        <v>412</v>
      </c>
      <c r="E183" s="23">
        <f>F183+I183</f>
        <v>6550500</v>
      </c>
      <c r="F183" s="23">
        <f>4720000+124300+4000+350000+1298700+53500</f>
        <v>6550500</v>
      </c>
      <c r="G183" s="23">
        <f>3500000-22000-52000+320000+1045300+36000</f>
        <v>4827300</v>
      </c>
      <c r="H183" s="23">
        <f>205700+4000+15500</f>
        <v>225200</v>
      </c>
      <c r="I183" s="25"/>
      <c r="J183" s="106">
        <f t="shared" si="45"/>
        <v>0</v>
      </c>
      <c r="K183" s="105"/>
      <c r="L183" s="105"/>
      <c r="M183" s="105"/>
      <c r="N183" s="105"/>
      <c r="O183" s="44"/>
      <c r="P183" s="26">
        <f t="shared" si="35"/>
        <v>6550500</v>
      </c>
      <c r="Q183" s="16"/>
    </row>
    <row r="184" spans="1:18" s="27" customFormat="1" ht="48" x14ac:dyDescent="0.2">
      <c r="A184" s="96" t="s">
        <v>558</v>
      </c>
      <c r="B184" s="97" t="s">
        <v>84</v>
      </c>
      <c r="C184" s="97" t="s">
        <v>35</v>
      </c>
      <c r="D184" s="38" t="s">
        <v>85</v>
      </c>
      <c r="E184" s="23">
        <f>F184+I184</f>
        <v>190400</v>
      </c>
      <c r="F184" s="23">
        <f>99900+95200-4700</f>
        <v>190400</v>
      </c>
      <c r="G184" s="23"/>
      <c r="H184" s="23"/>
      <c r="I184" s="25"/>
      <c r="J184" s="106"/>
      <c r="K184" s="105"/>
      <c r="L184" s="105"/>
      <c r="M184" s="105"/>
      <c r="N184" s="105"/>
      <c r="O184" s="44"/>
      <c r="P184" s="26">
        <f t="shared" si="35"/>
        <v>190400</v>
      </c>
      <c r="Q184" s="16"/>
    </row>
    <row r="185" spans="1:18" s="27" customFormat="1" ht="29.25" customHeight="1" x14ac:dyDescent="0.2">
      <c r="A185" s="96" t="s">
        <v>408</v>
      </c>
      <c r="B185" s="97" t="s">
        <v>227</v>
      </c>
      <c r="C185" s="97" t="s">
        <v>49</v>
      </c>
      <c r="D185" s="2" t="s">
        <v>228</v>
      </c>
      <c r="E185" s="23">
        <f>F185+I185</f>
        <v>1929800</v>
      </c>
      <c r="F185" s="23">
        <f>F187+F188</f>
        <v>1929800</v>
      </c>
      <c r="G185" s="23">
        <f>G187+G188</f>
        <v>670000</v>
      </c>
      <c r="H185" s="23">
        <f>H187+H188</f>
        <v>60500</v>
      </c>
      <c r="I185" s="25"/>
      <c r="J185" s="106">
        <f>L185+O185</f>
        <v>0</v>
      </c>
      <c r="K185" s="105"/>
      <c r="L185" s="105">
        <v>0</v>
      </c>
      <c r="M185" s="105">
        <v>0</v>
      </c>
      <c r="N185" s="105">
        <v>0</v>
      </c>
      <c r="O185" s="44"/>
      <c r="P185" s="26">
        <f t="shared" si="35"/>
        <v>1929800</v>
      </c>
      <c r="Q185" s="16"/>
      <c r="R185" s="16"/>
    </row>
    <row r="186" spans="1:18" s="27" customFormat="1" ht="15.75" customHeight="1" x14ac:dyDescent="0.2">
      <c r="A186" s="96"/>
      <c r="B186" s="97"/>
      <c r="C186" s="97"/>
      <c r="D186" s="35" t="s">
        <v>234</v>
      </c>
      <c r="E186" s="23"/>
      <c r="F186" s="23"/>
      <c r="G186" s="23"/>
      <c r="H186" s="23"/>
      <c r="I186" s="25"/>
      <c r="J186" s="106"/>
      <c r="K186" s="105"/>
      <c r="L186" s="105"/>
      <c r="M186" s="105"/>
      <c r="N186" s="105"/>
      <c r="O186" s="44"/>
      <c r="P186" s="26">
        <f t="shared" si="35"/>
        <v>0</v>
      </c>
      <c r="Q186" s="16"/>
      <c r="R186" s="16"/>
    </row>
    <row r="187" spans="1:18" s="27" customFormat="1" ht="29.25" customHeight="1" x14ac:dyDescent="0.2">
      <c r="A187" s="96"/>
      <c r="B187" s="97"/>
      <c r="C187" s="97"/>
      <c r="D187" s="2" t="s">
        <v>466</v>
      </c>
      <c r="E187" s="23">
        <f>F187+I187</f>
        <v>1429800</v>
      </c>
      <c r="F187" s="23">
        <f>1181500+49250-4000+120000+49900+9150+24000</f>
        <v>1429800</v>
      </c>
      <c r="G187" s="23">
        <f>550000+120000</f>
        <v>670000</v>
      </c>
      <c r="H187" s="23">
        <f>17500+17000+26000</f>
        <v>60500</v>
      </c>
      <c r="I187" s="25"/>
      <c r="J187" s="106"/>
      <c r="K187" s="105"/>
      <c r="L187" s="105"/>
      <c r="M187" s="105"/>
      <c r="N187" s="105"/>
      <c r="O187" s="44"/>
      <c r="P187" s="26">
        <f t="shared" si="35"/>
        <v>1429800</v>
      </c>
      <c r="Q187" s="16"/>
      <c r="R187" s="16"/>
    </row>
    <row r="188" spans="1:18" s="27" customFormat="1" ht="20.25" customHeight="1" x14ac:dyDescent="0.2">
      <c r="A188" s="96"/>
      <c r="B188" s="97"/>
      <c r="C188" s="97"/>
      <c r="D188" s="35" t="s">
        <v>201</v>
      </c>
      <c r="E188" s="23">
        <f>F188+I188</f>
        <v>500000</v>
      </c>
      <c r="F188" s="23">
        <v>500000</v>
      </c>
      <c r="G188" s="23"/>
      <c r="H188" s="23"/>
      <c r="I188" s="25"/>
      <c r="J188" s="106"/>
      <c r="K188" s="105"/>
      <c r="L188" s="105"/>
      <c r="M188" s="105"/>
      <c r="N188" s="105"/>
      <c r="O188" s="44"/>
      <c r="P188" s="26">
        <f t="shared" si="35"/>
        <v>500000</v>
      </c>
      <c r="Q188" s="16"/>
      <c r="R188" s="16"/>
    </row>
    <row r="189" spans="1:18" s="27" customFormat="1" ht="60" x14ac:dyDescent="0.2">
      <c r="A189" s="96" t="s">
        <v>634</v>
      </c>
      <c r="B189" s="97" t="s">
        <v>635</v>
      </c>
      <c r="C189" s="97" t="s">
        <v>560</v>
      </c>
      <c r="D189" s="2" t="s">
        <v>636</v>
      </c>
      <c r="E189" s="23">
        <f>F189+I189</f>
        <v>0</v>
      </c>
      <c r="F189" s="23"/>
      <c r="G189" s="23"/>
      <c r="H189" s="23"/>
      <c r="I189" s="25"/>
      <c r="J189" s="103">
        <f>L189+O189</f>
        <v>15688560</v>
      </c>
      <c r="K189" s="23">
        <f>7844280+7844280</f>
        <v>15688560</v>
      </c>
      <c r="L189" s="23"/>
      <c r="M189" s="23"/>
      <c r="N189" s="23"/>
      <c r="O189" s="25">
        <f>7844280+7844280</f>
        <v>15688560</v>
      </c>
      <c r="P189" s="26">
        <f t="shared" si="35"/>
        <v>15688560</v>
      </c>
      <c r="Q189" s="16"/>
    </row>
    <row r="190" spans="1:18" s="27" customFormat="1" ht="96" x14ac:dyDescent="0.2">
      <c r="A190" s="96" t="s">
        <v>254</v>
      </c>
      <c r="B190" s="97" t="s">
        <v>249</v>
      </c>
      <c r="C190" s="97" t="s">
        <v>25</v>
      </c>
      <c r="D190" s="2" t="s">
        <v>250</v>
      </c>
      <c r="E190" s="23">
        <f>F190+I190</f>
        <v>0</v>
      </c>
      <c r="F190" s="23"/>
      <c r="G190" s="23"/>
      <c r="H190" s="23"/>
      <c r="I190" s="25"/>
      <c r="J190" s="103">
        <f>L190+O190</f>
        <v>1850000</v>
      </c>
      <c r="K190" s="23"/>
      <c r="L190" s="23">
        <f>1100000+600000+150000</f>
        <v>1850000</v>
      </c>
      <c r="M190" s="23"/>
      <c r="N190" s="105"/>
      <c r="O190" s="44"/>
      <c r="P190" s="26">
        <f t="shared" si="35"/>
        <v>1850000</v>
      </c>
      <c r="Q190" s="16"/>
    </row>
    <row r="191" spans="1:18" s="17" customFormat="1" ht="25.5" x14ac:dyDescent="0.2">
      <c r="A191" s="33" t="s">
        <v>111</v>
      </c>
      <c r="B191" s="19"/>
      <c r="C191" s="19"/>
      <c r="D191" s="20" t="s">
        <v>293</v>
      </c>
      <c r="E191" s="21">
        <f>E193+E194+E196+E198+E199+E200+E201+E204+E197+E195+E205</f>
        <v>156184210</v>
      </c>
      <c r="F191" s="21">
        <f>F193+F194+F196+F198+F199+F200+F201+F204+F197+F195+F205</f>
        <v>156184210</v>
      </c>
      <c r="G191" s="21">
        <f>G193+G194+G196+G198+G199+G200+G201+G204+G197+G195+G205</f>
        <v>98966300</v>
      </c>
      <c r="H191" s="21">
        <f>H193+H194+H196+H198+H199+H200+H201+H204+H197+H195+H205</f>
        <v>10963000</v>
      </c>
      <c r="I191" s="22">
        <f>I193+I194+I196+I198+I199+I200+I201+I204+I197+I195</f>
        <v>0</v>
      </c>
      <c r="J191" s="104">
        <f>SUM(J193:J204)</f>
        <v>6118282</v>
      </c>
      <c r="K191" s="21">
        <f t="shared" ref="K191:O191" si="52">SUM(K193:K204)</f>
        <v>480582</v>
      </c>
      <c r="L191" s="21">
        <f>SUM(L193:L204)</f>
        <v>5437700</v>
      </c>
      <c r="M191" s="21">
        <f t="shared" si="52"/>
        <v>2715300</v>
      </c>
      <c r="N191" s="21">
        <f t="shared" si="52"/>
        <v>147000</v>
      </c>
      <c r="O191" s="22">
        <f t="shared" si="52"/>
        <v>680582</v>
      </c>
      <c r="P191" s="26">
        <f t="shared" ref="P191:P254" si="53">E191+J191</f>
        <v>162302492</v>
      </c>
      <c r="Q191" s="16"/>
      <c r="R191" s="16"/>
    </row>
    <row r="192" spans="1:18" s="17" customFormat="1" ht="25.5" x14ac:dyDescent="0.2">
      <c r="A192" s="33" t="s">
        <v>142</v>
      </c>
      <c r="B192" s="19"/>
      <c r="C192" s="19"/>
      <c r="D192" s="20" t="s">
        <v>293</v>
      </c>
      <c r="E192" s="21"/>
      <c r="F192" s="21"/>
      <c r="G192" s="21"/>
      <c r="H192" s="21"/>
      <c r="I192" s="22"/>
      <c r="J192" s="103"/>
      <c r="K192" s="23"/>
      <c r="L192" s="21"/>
      <c r="M192" s="21"/>
      <c r="N192" s="21"/>
      <c r="O192" s="22"/>
      <c r="P192" s="26">
        <f t="shared" si="53"/>
        <v>0</v>
      </c>
      <c r="Q192" s="16"/>
      <c r="R192" s="43"/>
    </row>
    <row r="193" spans="1:18" s="27" customFormat="1" ht="36" x14ac:dyDescent="0.2">
      <c r="A193" s="96" t="s">
        <v>143</v>
      </c>
      <c r="B193" s="97" t="s">
        <v>59</v>
      </c>
      <c r="C193" s="97" t="s">
        <v>22</v>
      </c>
      <c r="D193" s="2" t="s">
        <v>388</v>
      </c>
      <c r="E193" s="23">
        <f>F193+I193</f>
        <v>4401300</v>
      </c>
      <c r="F193" s="23">
        <f>3582000+50000+10000+690300+69000</f>
        <v>4401300</v>
      </c>
      <c r="G193" s="23">
        <f>2500000-80000+589300+53000</f>
        <v>3062300</v>
      </c>
      <c r="H193" s="23">
        <f>237000+10000</f>
        <v>247000</v>
      </c>
      <c r="I193" s="25"/>
      <c r="J193" s="103">
        <f>L193+O193</f>
        <v>0</v>
      </c>
      <c r="K193" s="23"/>
      <c r="L193" s="23"/>
      <c r="M193" s="23"/>
      <c r="N193" s="23"/>
      <c r="O193" s="25"/>
      <c r="P193" s="26">
        <f t="shared" si="53"/>
        <v>4401300</v>
      </c>
      <c r="Q193" s="16"/>
      <c r="R193" s="45"/>
    </row>
    <row r="194" spans="1:18" s="27" customFormat="1" ht="24" x14ac:dyDescent="0.2">
      <c r="A194" s="96" t="s">
        <v>344</v>
      </c>
      <c r="B194" s="97" t="s">
        <v>345</v>
      </c>
      <c r="C194" s="97" t="s">
        <v>32</v>
      </c>
      <c r="D194" s="2" t="s">
        <v>407</v>
      </c>
      <c r="E194" s="23">
        <f>F194+I194</f>
        <v>80899609</v>
      </c>
      <c r="F194" s="23">
        <f>82370000+12000+55000+15000-44000-94000-55000+59609+20000+15000+22000-35000-22000+50000-48000+120000+53400-5400+30000-142000-90000+70000+100000+30000-887000-700000</f>
        <v>80899609</v>
      </c>
      <c r="G194" s="23">
        <f>64000000-98900-1200000-887000-700000</f>
        <v>61114100</v>
      </c>
      <c r="H194" s="23">
        <f>3350000+12000+55000+20000+15000+22000-142000-90000+70000+100000</f>
        <v>3412000</v>
      </c>
      <c r="I194" s="25"/>
      <c r="J194" s="103">
        <f>L194+O194</f>
        <v>3828275</v>
      </c>
      <c r="K194" s="23">
        <f>73175+155100</f>
        <v>228275</v>
      </c>
      <c r="L194" s="23">
        <v>3600000</v>
      </c>
      <c r="M194" s="23">
        <v>2685300</v>
      </c>
      <c r="N194" s="23">
        <v>144000</v>
      </c>
      <c r="O194" s="25">
        <f>73175+155100</f>
        <v>228275</v>
      </c>
      <c r="P194" s="26">
        <f t="shared" si="53"/>
        <v>84727884</v>
      </c>
      <c r="Q194" s="16"/>
      <c r="R194" s="45"/>
    </row>
    <row r="195" spans="1:18" s="27" customFormat="1" ht="48" x14ac:dyDescent="0.2">
      <c r="A195" s="50">
        <v>1013140</v>
      </c>
      <c r="B195" s="97" t="s">
        <v>84</v>
      </c>
      <c r="C195" s="97" t="s">
        <v>35</v>
      </c>
      <c r="D195" s="38" t="s">
        <v>85</v>
      </c>
      <c r="E195" s="23">
        <f>F195+I195</f>
        <v>95200</v>
      </c>
      <c r="F195" s="23">
        <f>99900-4700</f>
        <v>95200</v>
      </c>
      <c r="G195" s="23"/>
      <c r="H195" s="23"/>
      <c r="I195" s="25"/>
      <c r="J195" s="103"/>
      <c r="K195" s="23"/>
      <c r="L195" s="23"/>
      <c r="M195" s="23"/>
      <c r="N195" s="23"/>
      <c r="O195" s="25"/>
      <c r="P195" s="26">
        <f t="shared" si="53"/>
        <v>95200</v>
      </c>
      <c r="Q195" s="16"/>
      <c r="R195" s="45"/>
    </row>
    <row r="196" spans="1:18" s="27" customFormat="1" ht="12.75" x14ac:dyDescent="0.2">
      <c r="A196" s="96" t="s">
        <v>144</v>
      </c>
      <c r="B196" s="97" t="s">
        <v>69</v>
      </c>
      <c r="C196" s="97" t="s">
        <v>50</v>
      </c>
      <c r="D196" s="2" t="s">
        <v>70</v>
      </c>
      <c r="E196" s="23">
        <f t="shared" ref="E196:E207" si="54">F196+I196</f>
        <v>3455000</v>
      </c>
      <c r="F196" s="23">
        <f>3385000+300000-50000-180000</f>
        <v>3455000</v>
      </c>
      <c r="G196" s="23"/>
      <c r="H196" s="23"/>
      <c r="I196" s="25"/>
      <c r="J196" s="103">
        <f>L196+O196</f>
        <v>0</v>
      </c>
      <c r="K196" s="23"/>
      <c r="L196" s="23"/>
      <c r="M196" s="23"/>
      <c r="N196" s="23"/>
      <c r="O196" s="25"/>
      <c r="P196" s="26">
        <f t="shared" si="53"/>
        <v>3455000</v>
      </c>
      <c r="Q196" s="16"/>
    </row>
    <row r="197" spans="1:18" s="27" customFormat="1" ht="36" x14ac:dyDescent="0.2">
      <c r="A197" s="96" t="s">
        <v>282</v>
      </c>
      <c r="B197" s="97" t="s">
        <v>283</v>
      </c>
      <c r="C197" s="97" t="s">
        <v>284</v>
      </c>
      <c r="D197" s="2" t="s">
        <v>285</v>
      </c>
      <c r="E197" s="23">
        <f t="shared" si="54"/>
        <v>7594000</v>
      </c>
      <c r="F197" s="23">
        <f>8500000+36000+28000+20000+30000-1020000</f>
        <v>7594000</v>
      </c>
      <c r="G197" s="23"/>
      <c r="H197" s="23"/>
      <c r="I197" s="25"/>
      <c r="J197" s="103">
        <f>L197+O197</f>
        <v>0</v>
      </c>
      <c r="K197" s="23"/>
      <c r="L197" s="23"/>
      <c r="M197" s="23"/>
      <c r="N197" s="23"/>
      <c r="O197" s="25"/>
      <c r="P197" s="26">
        <f t="shared" si="53"/>
        <v>7594000</v>
      </c>
      <c r="Q197" s="16"/>
    </row>
    <row r="198" spans="1:18" s="27" customFormat="1" ht="12.75" x14ac:dyDescent="0.2">
      <c r="A198" s="96" t="s">
        <v>145</v>
      </c>
      <c r="B198" s="97" t="s">
        <v>71</v>
      </c>
      <c r="C198" s="97" t="s">
        <v>41</v>
      </c>
      <c r="D198" s="2" t="s">
        <v>72</v>
      </c>
      <c r="E198" s="23">
        <f t="shared" si="54"/>
        <v>19597025</v>
      </c>
      <c r="F198" s="23">
        <f>18746000+10000+11500+65000-106000+100000+10000+12000+27525-20000-10000-12000-20000-50000-100000-120000+150000-9000+30000+20000-30000+887000+5000</f>
        <v>19597025</v>
      </c>
      <c r="G198" s="23">
        <f>12600000-120000-270000+662000</f>
        <v>12872000</v>
      </c>
      <c r="H198" s="23">
        <f>2112000+10000+10000+12000-9000+30000</f>
        <v>2165000</v>
      </c>
      <c r="I198" s="25"/>
      <c r="J198" s="103">
        <f t="shared" si="45"/>
        <v>126400</v>
      </c>
      <c r="K198" s="23">
        <f>116400</f>
        <v>116400</v>
      </c>
      <c r="L198" s="23">
        <v>10000</v>
      </c>
      <c r="M198" s="23"/>
      <c r="N198" s="23"/>
      <c r="O198" s="25">
        <f>116400</f>
        <v>116400</v>
      </c>
      <c r="P198" s="26">
        <f t="shared" si="53"/>
        <v>19723425</v>
      </c>
      <c r="Q198" s="16"/>
    </row>
    <row r="199" spans="1:18" s="27" customFormat="1" ht="36" x14ac:dyDescent="0.2">
      <c r="A199" s="96" t="s">
        <v>146</v>
      </c>
      <c r="B199" s="97" t="s">
        <v>40</v>
      </c>
      <c r="C199" s="97" t="s">
        <v>42</v>
      </c>
      <c r="D199" s="2" t="s">
        <v>73</v>
      </c>
      <c r="E199" s="23">
        <f t="shared" si="54"/>
        <v>31548076</v>
      </c>
      <c r="F199" s="23">
        <f>28600000+25500+129000+175000+869000-129000+16000+40000+18000-16000-71100-30000+100000+216000+30000+170176+20000+131000+1073500+101000+80000</f>
        <v>31548076</v>
      </c>
      <c r="G199" s="23">
        <f>19190000+350000-170000-2100</f>
        <v>19367900</v>
      </c>
      <c r="H199" s="23">
        <f>4323000+129000+175000+16000+131000+101000+80000</f>
        <v>4955000</v>
      </c>
      <c r="I199" s="25"/>
      <c r="J199" s="103">
        <f t="shared" si="45"/>
        <v>190907</v>
      </c>
      <c r="K199" s="23">
        <f>135907</f>
        <v>135907</v>
      </c>
      <c r="L199" s="23">
        <v>55000</v>
      </c>
      <c r="M199" s="23">
        <v>30000</v>
      </c>
      <c r="N199" s="23">
        <v>3000</v>
      </c>
      <c r="O199" s="25">
        <f>135907</f>
        <v>135907</v>
      </c>
      <c r="P199" s="26">
        <f t="shared" si="53"/>
        <v>31738983</v>
      </c>
      <c r="Q199" s="16"/>
    </row>
    <row r="200" spans="1:18" s="27" customFormat="1" ht="24" x14ac:dyDescent="0.2">
      <c r="A200" s="96" t="s">
        <v>243</v>
      </c>
      <c r="B200" s="97" t="s">
        <v>242</v>
      </c>
      <c r="C200" s="97" t="s">
        <v>43</v>
      </c>
      <c r="D200" s="2" t="s">
        <v>244</v>
      </c>
      <c r="E200" s="23">
        <f t="shared" si="54"/>
        <v>4099000</v>
      </c>
      <c r="F200" s="23">
        <f>4100000+3000+200000+6000+90000-200000-100000</f>
        <v>4099000</v>
      </c>
      <c r="G200" s="23">
        <f>2800000-50000-200000</f>
        <v>2550000</v>
      </c>
      <c r="H200" s="23">
        <f>181000+3000</f>
        <v>184000</v>
      </c>
      <c r="I200" s="25"/>
      <c r="J200" s="103">
        <f t="shared" si="45"/>
        <v>0</v>
      </c>
      <c r="K200" s="23"/>
      <c r="L200" s="23"/>
      <c r="M200" s="23"/>
      <c r="N200" s="23"/>
      <c r="O200" s="25"/>
      <c r="P200" s="26">
        <f t="shared" si="53"/>
        <v>4099000</v>
      </c>
      <c r="Q200" s="16"/>
    </row>
    <row r="201" spans="1:18" s="27" customFormat="1" ht="12.75" x14ac:dyDescent="0.2">
      <c r="A201" s="96" t="s">
        <v>245</v>
      </c>
      <c r="B201" s="97" t="s">
        <v>246</v>
      </c>
      <c r="C201" s="97" t="s">
        <v>43</v>
      </c>
      <c r="D201" s="2" t="s">
        <v>247</v>
      </c>
      <c r="E201" s="23">
        <f t="shared" si="54"/>
        <v>4440000</v>
      </c>
      <c r="F201" s="23">
        <f>5000000-84000-366000-80000-30000</f>
        <v>4440000</v>
      </c>
      <c r="G201" s="23"/>
      <c r="H201" s="23"/>
      <c r="I201" s="25"/>
      <c r="J201" s="103">
        <f>L201+O201</f>
        <v>0</v>
      </c>
      <c r="K201" s="23"/>
      <c r="L201" s="23"/>
      <c r="M201" s="23"/>
      <c r="N201" s="23"/>
      <c r="O201" s="25"/>
      <c r="P201" s="26">
        <f t="shared" si="53"/>
        <v>4440000</v>
      </c>
      <c r="Q201" s="16"/>
    </row>
    <row r="202" spans="1:18" s="27" customFormat="1" ht="12.75" hidden="1" x14ac:dyDescent="0.2">
      <c r="A202" s="96"/>
      <c r="B202" s="97"/>
      <c r="C202" s="97"/>
      <c r="D202" s="29" t="s">
        <v>182</v>
      </c>
      <c r="E202" s="23"/>
      <c r="F202" s="23"/>
      <c r="G202" s="23"/>
      <c r="H202" s="23"/>
      <c r="I202" s="25"/>
      <c r="J202" s="103"/>
      <c r="K202" s="23"/>
      <c r="L202" s="23"/>
      <c r="M202" s="23"/>
      <c r="N202" s="23"/>
      <c r="O202" s="25"/>
      <c r="P202" s="26">
        <f t="shared" si="53"/>
        <v>0</v>
      </c>
      <c r="Q202" s="16"/>
    </row>
    <row r="203" spans="1:18" s="27" customFormat="1" ht="24" hidden="1" x14ac:dyDescent="0.2">
      <c r="A203" s="96"/>
      <c r="B203" s="97"/>
      <c r="C203" s="97"/>
      <c r="D203" s="29" t="s">
        <v>288</v>
      </c>
      <c r="E203" s="23">
        <f t="shared" si="54"/>
        <v>0</v>
      </c>
      <c r="F203" s="23"/>
      <c r="G203" s="23"/>
      <c r="H203" s="23"/>
      <c r="I203" s="25"/>
      <c r="J203" s="103"/>
      <c r="K203" s="23"/>
      <c r="L203" s="23"/>
      <c r="M203" s="23"/>
      <c r="N203" s="23"/>
      <c r="O203" s="25"/>
      <c r="P203" s="26">
        <f t="shared" si="53"/>
        <v>0</v>
      </c>
      <c r="Q203" s="16"/>
    </row>
    <row r="204" spans="1:18" s="27" customFormat="1" ht="96" x14ac:dyDescent="0.2">
      <c r="A204" s="96" t="s">
        <v>248</v>
      </c>
      <c r="B204" s="97" t="s">
        <v>249</v>
      </c>
      <c r="C204" s="97" t="s">
        <v>25</v>
      </c>
      <c r="D204" s="2" t="s">
        <v>250</v>
      </c>
      <c r="E204" s="23">
        <f t="shared" si="54"/>
        <v>0</v>
      </c>
      <c r="F204" s="23"/>
      <c r="G204" s="23"/>
      <c r="H204" s="23"/>
      <c r="I204" s="25"/>
      <c r="J204" s="103">
        <f>L204+O204</f>
        <v>1972700</v>
      </c>
      <c r="K204" s="23"/>
      <c r="L204" s="23">
        <f>1100000+192500+130200+350000</f>
        <v>1772700</v>
      </c>
      <c r="M204" s="23"/>
      <c r="N204" s="23"/>
      <c r="O204" s="25">
        <v>200000</v>
      </c>
      <c r="P204" s="26">
        <f t="shared" si="53"/>
        <v>1972700</v>
      </c>
      <c r="Q204" s="16"/>
    </row>
    <row r="205" spans="1:18" s="27" customFormat="1" ht="48" x14ac:dyDescent="0.2">
      <c r="A205" s="96" t="s">
        <v>616</v>
      </c>
      <c r="B205" s="97" t="s">
        <v>617</v>
      </c>
      <c r="C205" s="97" t="s">
        <v>43</v>
      </c>
      <c r="D205" s="2" t="s">
        <v>618</v>
      </c>
      <c r="E205" s="23">
        <f t="shared" ref="E205" si="55">F205+I205</f>
        <v>55000</v>
      </c>
      <c r="F205" s="23">
        <v>55000</v>
      </c>
      <c r="G205" s="23"/>
      <c r="H205" s="23"/>
      <c r="I205" s="25"/>
      <c r="J205" s="103"/>
      <c r="K205" s="23"/>
      <c r="L205" s="23"/>
      <c r="M205" s="23"/>
      <c r="N205" s="23"/>
      <c r="O205" s="25"/>
      <c r="P205" s="26">
        <f t="shared" si="53"/>
        <v>55000</v>
      </c>
      <c r="Q205" s="16"/>
    </row>
    <row r="206" spans="1:18" s="17" customFormat="1" ht="25.5" x14ac:dyDescent="0.2">
      <c r="A206" s="51">
        <v>1100000</v>
      </c>
      <c r="B206" s="19"/>
      <c r="C206" s="19"/>
      <c r="D206" s="20" t="s">
        <v>295</v>
      </c>
      <c r="E206" s="21">
        <f>F206+I206</f>
        <v>85896906</v>
      </c>
      <c r="F206" s="21">
        <f>F208+F209+F213+F214+F215+F216+F220+F221+F217+F212+F210+F218</f>
        <v>85896906</v>
      </c>
      <c r="G206" s="21">
        <f>G208+G209+G213+G214+G215+G216+G220+G221+G217+G212+G210+G218</f>
        <v>6940707</v>
      </c>
      <c r="H206" s="21">
        <f>H208+H209+H213+H214+H215+H216+H220+H221+H217+H212+H210+H218</f>
        <v>286900</v>
      </c>
      <c r="I206" s="22">
        <f t="shared" ref="I206:O206" si="56">I208+I209+I213+I214+I215+I216+I220+I221+I217+I212+I210</f>
        <v>0</v>
      </c>
      <c r="J206" s="104">
        <f t="shared" si="56"/>
        <v>0</v>
      </c>
      <c r="K206" s="21">
        <f t="shared" si="56"/>
        <v>0</v>
      </c>
      <c r="L206" s="21">
        <f t="shared" si="56"/>
        <v>0</v>
      </c>
      <c r="M206" s="21">
        <f t="shared" si="56"/>
        <v>0</v>
      </c>
      <c r="N206" s="21">
        <f t="shared" si="56"/>
        <v>0</v>
      </c>
      <c r="O206" s="22">
        <f t="shared" si="56"/>
        <v>0</v>
      </c>
      <c r="P206" s="26">
        <f t="shared" si="53"/>
        <v>85896906</v>
      </c>
      <c r="Q206" s="16"/>
      <c r="R206" s="16"/>
    </row>
    <row r="207" spans="1:18" s="17" customFormat="1" ht="25.5" x14ac:dyDescent="0.2">
      <c r="A207" s="51">
        <v>1110000</v>
      </c>
      <c r="B207" s="19"/>
      <c r="C207" s="19"/>
      <c r="D207" s="20" t="s">
        <v>295</v>
      </c>
      <c r="E207" s="23">
        <f t="shared" si="54"/>
        <v>0</v>
      </c>
      <c r="F207" s="21"/>
      <c r="G207" s="21"/>
      <c r="H207" s="21"/>
      <c r="I207" s="22"/>
      <c r="J207" s="103"/>
      <c r="K207" s="23"/>
      <c r="L207" s="21"/>
      <c r="M207" s="21"/>
      <c r="N207" s="21"/>
      <c r="O207" s="22"/>
      <c r="P207" s="26">
        <f t="shared" si="53"/>
        <v>0</v>
      </c>
      <c r="Q207" s="16"/>
      <c r="R207" s="43"/>
    </row>
    <row r="208" spans="1:18" s="27" customFormat="1" ht="36" x14ac:dyDescent="0.2">
      <c r="A208" s="50">
        <v>1110160</v>
      </c>
      <c r="B208" s="97" t="s">
        <v>59</v>
      </c>
      <c r="C208" s="97" t="s">
        <v>22</v>
      </c>
      <c r="D208" s="2" t="s">
        <v>412</v>
      </c>
      <c r="E208" s="23">
        <f>F208+I208</f>
        <v>4218800</v>
      </c>
      <c r="F208" s="23">
        <f>3033000+199800+450000+586000-50000</f>
        <v>4218800</v>
      </c>
      <c r="G208" s="23">
        <f>2300000+104600-50000+400000+424000-25000-16000</f>
        <v>3137600</v>
      </c>
      <c r="H208" s="23">
        <v>102000</v>
      </c>
      <c r="I208" s="25"/>
      <c r="J208" s="103">
        <f t="shared" ref="J208:J221" si="57">L208+O208</f>
        <v>0</v>
      </c>
      <c r="K208" s="23"/>
      <c r="L208" s="23"/>
      <c r="M208" s="23"/>
      <c r="N208" s="23"/>
      <c r="O208" s="25"/>
      <c r="P208" s="26">
        <f t="shared" si="53"/>
        <v>4218800</v>
      </c>
      <c r="Q208" s="16"/>
      <c r="R208" s="45"/>
    </row>
    <row r="209" spans="1:18" s="27" customFormat="1" ht="36" x14ac:dyDescent="0.2">
      <c r="A209" s="50">
        <v>1113131</v>
      </c>
      <c r="B209" s="97" t="s">
        <v>60</v>
      </c>
      <c r="C209" s="97" t="s">
        <v>35</v>
      </c>
      <c r="D209" s="52" t="s">
        <v>61</v>
      </c>
      <c r="E209" s="23">
        <f t="shared" ref="E209:E220" si="58">F209</f>
        <v>3596096</v>
      </c>
      <c r="F209" s="23">
        <f>3500000+310000+54000+49900-131804-109900-181100-35000+10000+130000</f>
        <v>3596096</v>
      </c>
      <c r="G209" s="23"/>
      <c r="H209" s="23"/>
      <c r="I209" s="44"/>
      <c r="J209" s="106">
        <f t="shared" si="57"/>
        <v>0</v>
      </c>
      <c r="K209" s="105"/>
      <c r="L209" s="105"/>
      <c r="M209" s="105"/>
      <c r="N209" s="105"/>
      <c r="O209" s="44"/>
      <c r="P209" s="26">
        <f t="shared" si="53"/>
        <v>3596096</v>
      </c>
      <c r="Q209" s="16"/>
      <c r="R209" s="45"/>
    </row>
    <row r="210" spans="1:18" s="27" customFormat="1" ht="28.5" customHeight="1" x14ac:dyDescent="0.2">
      <c r="A210" s="50">
        <v>1113133</v>
      </c>
      <c r="B210" s="97" t="s">
        <v>441</v>
      </c>
      <c r="C210" s="97" t="s">
        <v>35</v>
      </c>
      <c r="D210" s="52" t="s">
        <v>465</v>
      </c>
      <c r="E210" s="23">
        <f t="shared" si="58"/>
        <v>1906170</v>
      </c>
      <c r="F210" s="23">
        <f>F211</f>
        <v>1906170</v>
      </c>
      <c r="G210" s="23">
        <f>G211</f>
        <v>1280320</v>
      </c>
      <c r="H210" s="23">
        <f>H211</f>
        <v>93000</v>
      </c>
      <c r="I210" s="44"/>
      <c r="J210" s="106"/>
      <c r="K210" s="105"/>
      <c r="L210" s="105"/>
      <c r="M210" s="105"/>
      <c r="N210" s="105"/>
      <c r="O210" s="44"/>
      <c r="P210" s="26">
        <f t="shared" si="53"/>
        <v>1906170</v>
      </c>
      <c r="Q210" s="16"/>
      <c r="R210" s="45"/>
    </row>
    <row r="211" spans="1:18" s="27" customFormat="1" ht="16.5" customHeight="1" x14ac:dyDescent="0.2">
      <c r="A211" s="50"/>
      <c r="B211" s="97"/>
      <c r="C211" s="97"/>
      <c r="D211" s="52" t="s">
        <v>444</v>
      </c>
      <c r="E211" s="23">
        <f t="shared" si="58"/>
        <v>1906170</v>
      </c>
      <c r="F211" s="23">
        <f>1530000+100000+324000-47830</f>
        <v>1906170</v>
      </c>
      <c r="G211" s="23">
        <f>948000+80000+265000-12680</f>
        <v>1280320</v>
      </c>
      <c r="H211" s="23">
        <v>93000</v>
      </c>
      <c r="I211" s="44"/>
      <c r="J211" s="106"/>
      <c r="K211" s="105"/>
      <c r="L211" s="105"/>
      <c r="M211" s="105"/>
      <c r="N211" s="105"/>
      <c r="O211" s="44"/>
      <c r="P211" s="26">
        <f t="shared" si="53"/>
        <v>1906170</v>
      </c>
      <c r="Q211" s="16"/>
      <c r="R211" s="45"/>
    </row>
    <row r="212" spans="1:18" s="27" customFormat="1" ht="48" x14ac:dyDescent="0.2">
      <c r="A212" s="50">
        <v>1113140</v>
      </c>
      <c r="B212" s="97" t="s">
        <v>84</v>
      </c>
      <c r="C212" s="97" t="s">
        <v>35</v>
      </c>
      <c r="D212" s="38" t="s">
        <v>85</v>
      </c>
      <c r="E212" s="23">
        <f t="shared" si="58"/>
        <v>95200</v>
      </c>
      <c r="F212" s="23">
        <f>1500000-1400100-4700</f>
        <v>95200</v>
      </c>
      <c r="G212" s="23"/>
      <c r="H212" s="23"/>
      <c r="I212" s="44"/>
      <c r="J212" s="106"/>
      <c r="K212" s="105"/>
      <c r="L212" s="105"/>
      <c r="M212" s="105"/>
      <c r="N212" s="105"/>
      <c r="O212" s="44">
        <v>0</v>
      </c>
      <c r="P212" s="26">
        <f t="shared" si="53"/>
        <v>95200</v>
      </c>
      <c r="Q212" s="16"/>
      <c r="R212" s="45"/>
    </row>
    <row r="213" spans="1:18" s="27" customFormat="1" ht="24" x14ac:dyDescent="0.2">
      <c r="A213" s="50">
        <v>1115011</v>
      </c>
      <c r="B213" s="97" t="s">
        <v>38</v>
      </c>
      <c r="C213" s="97" t="s">
        <v>36</v>
      </c>
      <c r="D213" s="2" t="s">
        <v>37</v>
      </c>
      <c r="E213" s="23">
        <f t="shared" si="58"/>
        <v>2937000</v>
      </c>
      <c r="F213" s="23">
        <f>2275000+49000+71000+400000+50000+92000</f>
        <v>2937000</v>
      </c>
      <c r="G213" s="23"/>
      <c r="H213" s="23"/>
      <c r="I213" s="25"/>
      <c r="J213" s="103">
        <f t="shared" si="57"/>
        <v>0</v>
      </c>
      <c r="K213" s="23"/>
      <c r="L213" s="23"/>
      <c r="M213" s="23"/>
      <c r="N213" s="23"/>
      <c r="O213" s="25"/>
      <c r="P213" s="26">
        <f t="shared" si="53"/>
        <v>2937000</v>
      </c>
      <c r="Q213" s="16"/>
      <c r="R213" s="46"/>
    </row>
    <row r="214" spans="1:18" s="27" customFormat="1" ht="24" x14ac:dyDescent="0.2">
      <c r="A214" s="50">
        <v>1115012</v>
      </c>
      <c r="B214" s="97" t="s">
        <v>58</v>
      </c>
      <c r="C214" s="97" t="s">
        <v>36</v>
      </c>
      <c r="D214" s="2" t="s">
        <v>57</v>
      </c>
      <c r="E214" s="23">
        <f t="shared" si="58"/>
        <v>870000</v>
      </c>
      <c r="F214" s="23">
        <f>980000+40000-50000-100000</f>
        <v>870000</v>
      </c>
      <c r="G214" s="23"/>
      <c r="H214" s="23"/>
      <c r="I214" s="25"/>
      <c r="J214" s="103">
        <f t="shared" si="57"/>
        <v>0</v>
      </c>
      <c r="K214" s="23"/>
      <c r="L214" s="23"/>
      <c r="M214" s="23"/>
      <c r="N214" s="23"/>
      <c r="O214" s="25"/>
      <c r="P214" s="26">
        <f t="shared" si="53"/>
        <v>870000</v>
      </c>
      <c r="Q214" s="16"/>
      <c r="R214" s="46"/>
    </row>
    <row r="215" spans="1:18" s="27" customFormat="1" ht="24" x14ac:dyDescent="0.2">
      <c r="A215" s="50">
        <v>1115021</v>
      </c>
      <c r="B215" s="97" t="s">
        <v>62</v>
      </c>
      <c r="C215" s="97" t="s">
        <v>36</v>
      </c>
      <c r="D215" s="2" t="s">
        <v>240</v>
      </c>
      <c r="E215" s="23">
        <f t="shared" si="58"/>
        <v>1687562</v>
      </c>
      <c r="F215" s="23">
        <f>1600000-17000+59000+45562</f>
        <v>1687562</v>
      </c>
      <c r="G215" s="23">
        <f>1200000-5300+46000+33745+17085</f>
        <v>1291530</v>
      </c>
      <c r="H215" s="23">
        <f>74000+900</f>
        <v>74900</v>
      </c>
      <c r="I215" s="25"/>
      <c r="J215" s="103">
        <f t="shared" si="57"/>
        <v>0</v>
      </c>
      <c r="K215" s="23"/>
      <c r="L215" s="23"/>
      <c r="M215" s="23"/>
      <c r="N215" s="23"/>
      <c r="O215" s="25"/>
      <c r="P215" s="26">
        <f t="shared" si="53"/>
        <v>1687562</v>
      </c>
      <c r="Q215" s="16"/>
    </row>
    <row r="216" spans="1:18" s="27" customFormat="1" ht="24" x14ac:dyDescent="0.2">
      <c r="A216" s="50">
        <v>1115022</v>
      </c>
      <c r="B216" s="97" t="s">
        <v>63</v>
      </c>
      <c r="C216" s="97" t="s">
        <v>36</v>
      </c>
      <c r="D216" s="2" t="s">
        <v>241</v>
      </c>
      <c r="E216" s="23">
        <f t="shared" si="58"/>
        <v>698900</v>
      </c>
      <c r="F216" s="23">
        <f>155000+449000+94900</f>
        <v>698900</v>
      </c>
      <c r="G216" s="23"/>
      <c r="H216" s="23"/>
      <c r="I216" s="25"/>
      <c r="J216" s="103">
        <f t="shared" si="57"/>
        <v>0</v>
      </c>
      <c r="K216" s="23"/>
      <c r="L216" s="23"/>
      <c r="M216" s="23"/>
      <c r="N216" s="23"/>
      <c r="O216" s="25"/>
      <c r="P216" s="26">
        <f t="shared" si="53"/>
        <v>698900</v>
      </c>
      <c r="Q216" s="16"/>
    </row>
    <row r="217" spans="1:18" s="27" customFormat="1" ht="24" x14ac:dyDescent="0.2">
      <c r="A217" s="50">
        <v>1115041</v>
      </c>
      <c r="B217" s="97" t="s">
        <v>222</v>
      </c>
      <c r="C217" s="97" t="s">
        <v>36</v>
      </c>
      <c r="D217" s="2" t="s">
        <v>221</v>
      </c>
      <c r="E217" s="23">
        <f t="shared" si="58"/>
        <v>12492000</v>
      </c>
      <c r="F217" s="23">
        <f>13000000+20000+5000+99000+868000-1500000</f>
        <v>12492000</v>
      </c>
      <c r="G217" s="23"/>
      <c r="H217" s="23"/>
      <c r="I217" s="25"/>
      <c r="J217" s="103">
        <f t="shared" si="57"/>
        <v>0</v>
      </c>
      <c r="K217" s="23"/>
      <c r="L217" s="23"/>
      <c r="M217" s="23"/>
      <c r="N217" s="23"/>
      <c r="O217" s="25"/>
      <c r="P217" s="26">
        <f t="shared" si="53"/>
        <v>12492000</v>
      </c>
      <c r="Q217" s="16"/>
    </row>
    <row r="218" spans="1:18" s="27" customFormat="1" ht="46.5" customHeight="1" x14ac:dyDescent="0.2">
      <c r="A218" s="50">
        <v>1115049</v>
      </c>
      <c r="B218" s="97" t="s">
        <v>539</v>
      </c>
      <c r="C218" s="97" t="s">
        <v>36</v>
      </c>
      <c r="D218" s="2" t="s">
        <v>540</v>
      </c>
      <c r="E218" s="23">
        <f t="shared" si="58"/>
        <v>114336</v>
      </c>
      <c r="F218" s="23">
        <f>114336</f>
        <v>114336</v>
      </c>
      <c r="G218" s="23">
        <v>93720</v>
      </c>
      <c r="H218" s="23"/>
      <c r="I218" s="25"/>
      <c r="J218" s="103"/>
      <c r="K218" s="23"/>
      <c r="L218" s="23"/>
      <c r="M218" s="23"/>
      <c r="N218" s="23"/>
      <c r="O218" s="25"/>
      <c r="P218" s="26">
        <f t="shared" si="53"/>
        <v>114336</v>
      </c>
      <c r="Q218" s="16"/>
    </row>
    <row r="219" spans="1:18" s="27" customFormat="1" ht="75.75" customHeight="1" x14ac:dyDescent="0.2">
      <c r="A219" s="50"/>
      <c r="B219" s="97"/>
      <c r="C219" s="97"/>
      <c r="D219" s="35" t="s">
        <v>541</v>
      </c>
      <c r="E219" s="23">
        <f t="shared" si="58"/>
        <v>114336</v>
      </c>
      <c r="F219" s="23">
        <v>114336</v>
      </c>
      <c r="G219" s="23">
        <v>93720</v>
      </c>
      <c r="H219" s="23"/>
      <c r="I219" s="25"/>
      <c r="J219" s="103"/>
      <c r="K219" s="23"/>
      <c r="L219" s="23"/>
      <c r="M219" s="23"/>
      <c r="N219" s="23"/>
      <c r="O219" s="25"/>
      <c r="P219" s="26">
        <f t="shared" si="53"/>
        <v>114336</v>
      </c>
      <c r="Q219" s="16"/>
    </row>
    <row r="220" spans="1:18" s="27" customFormat="1" ht="57" customHeight="1" x14ac:dyDescent="0.2">
      <c r="A220" s="50">
        <v>1115061</v>
      </c>
      <c r="B220" s="97" t="s">
        <v>65</v>
      </c>
      <c r="C220" s="97" t="s">
        <v>36</v>
      </c>
      <c r="D220" s="2" t="s">
        <v>66</v>
      </c>
      <c r="E220" s="23">
        <f t="shared" si="58"/>
        <v>1761842</v>
      </c>
      <c r="F220" s="23">
        <f>1663000+16000+46600+36242</f>
        <v>1761842</v>
      </c>
      <c r="G220" s="23">
        <f>1100000-21000+32000+26537</f>
        <v>1137537</v>
      </c>
      <c r="H220" s="23">
        <f>21000-4000</f>
        <v>17000</v>
      </c>
      <c r="I220" s="25"/>
      <c r="J220" s="103">
        <f t="shared" si="57"/>
        <v>0</v>
      </c>
      <c r="K220" s="23"/>
      <c r="L220" s="23"/>
      <c r="M220" s="23"/>
      <c r="N220" s="23"/>
      <c r="O220" s="25"/>
      <c r="P220" s="26">
        <f t="shared" si="53"/>
        <v>1761842</v>
      </c>
      <c r="Q220" s="16"/>
    </row>
    <row r="221" spans="1:18" s="27" customFormat="1" ht="36" x14ac:dyDescent="0.2">
      <c r="A221" s="50">
        <v>1115062</v>
      </c>
      <c r="B221" s="97" t="s">
        <v>67</v>
      </c>
      <c r="C221" s="97" t="s">
        <v>36</v>
      </c>
      <c r="D221" s="2" t="s">
        <v>68</v>
      </c>
      <c r="E221" s="23">
        <f>F221</f>
        <v>55519000</v>
      </c>
      <c r="F221" s="23">
        <f>30000000+9170000+25000+100000+60000+350000+50000+200000+1000000+550000+200000+1750000+550000+1000000+50000+1850000+1730000+40000+150000+160000+350000+564000+400000+4690000+400000+350000+400000+4000000+30000+1000000+50000-3800000-1900000</f>
        <v>55519000</v>
      </c>
      <c r="G221" s="23"/>
      <c r="H221" s="23"/>
      <c r="I221" s="25"/>
      <c r="J221" s="103">
        <f t="shared" si="57"/>
        <v>0</v>
      </c>
      <c r="K221" s="23"/>
      <c r="L221" s="23"/>
      <c r="M221" s="23"/>
      <c r="N221" s="23"/>
      <c r="O221" s="25"/>
      <c r="P221" s="26">
        <f t="shared" si="53"/>
        <v>55519000</v>
      </c>
      <c r="Q221" s="16"/>
    </row>
    <row r="222" spans="1:18" s="17" customFormat="1" ht="38.25" x14ac:dyDescent="0.2">
      <c r="A222" s="33" t="s">
        <v>116</v>
      </c>
      <c r="B222" s="19"/>
      <c r="C222" s="19"/>
      <c r="D222" s="20" t="s">
        <v>544</v>
      </c>
      <c r="E222" s="21">
        <f>F222+I222</f>
        <v>341242693</v>
      </c>
      <c r="F222" s="21">
        <f>F224+F225+F226+F237+F238+F259+F260+F248+F244+F245+F251+F258</f>
        <v>99362063</v>
      </c>
      <c r="G222" s="21">
        <f t="shared" ref="G222:K222" si="59">G224+G225+G226+G237+G238+G259+G260+G248+G244+G245+G251+G258</f>
        <v>19245800</v>
      </c>
      <c r="H222" s="21">
        <f t="shared" si="59"/>
        <v>18849424</v>
      </c>
      <c r="I222" s="22">
        <f t="shared" si="59"/>
        <v>241880630</v>
      </c>
      <c r="J222" s="104">
        <f t="shared" si="59"/>
        <v>80637760</v>
      </c>
      <c r="K222" s="21">
        <f t="shared" si="59"/>
        <v>80507760</v>
      </c>
      <c r="L222" s="21">
        <f t="shared" ref="L222:O222" si="60">L224+L225+L226+L237+L238+L259+L260+L248+L244+L245+L251+L258</f>
        <v>130000</v>
      </c>
      <c r="M222" s="21">
        <f t="shared" si="60"/>
        <v>0</v>
      </c>
      <c r="N222" s="21">
        <f t="shared" si="60"/>
        <v>0</v>
      </c>
      <c r="O222" s="22">
        <f t="shared" si="60"/>
        <v>80507760</v>
      </c>
      <c r="P222" s="26">
        <f t="shared" si="53"/>
        <v>421880453</v>
      </c>
      <c r="Q222" s="16"/>
      <c r="R222" s="16"/>
    </row>
    <row r="223" spans="1:18" s="17" customFormat="1" ht="38.25" x14ac:dyDescent="0.2">
      <c r="A223" s="33" t="s">
        <v>117</v>
      </c>
      <c r="B223" s="19"/>
      <c r="C223" s="19"/>
      <c r="D223" s="20" t="s">
        <v>544</v>
      </c>
      <c r="E223" s="23">
        <f t="shared" ref="E223" si="61">F223+I223</f>
        <v>0</v>
      </c>
      <c r="F223" s="21"/>
      <c r="G223" s="21"/>
      <c r="H223" s="21"/>
      <c r="I223" s="22"/>
      <c r="J223" s="103"/>
      <c r="K223" s="23"/>
      <c r="L223" s="21"/>
      <c r="M223" s="21"/>
      <c r="N223" s="21"/>
      <c r="O223" s="22"/>
      <c r="P223" s="26">
        <f t="shared" si="53"/>
        <v>0</v>
      </c>
      <c r="Q223" s="16"/>
      <c r="R223" s="43"/>
    </row>
    <row r="224" spans="1:18" s="27" customFormat="1" ht="36" x14ac:dyDescent="0.2">
      <c r="A224" s="96" t="s">
        <v>118</v>
      </c>
      <c r="B224" s="97" t="s">
        <v>59</v>
      </c>
      <c r="C224" s="97" t="s">
        <v>22</v>
      </c>
      <c r="D224" s="2" t="s">
        <v>412</v>
      </c>
      <c r="E224" s="23">
        <f>F224+I224</f>
        <v>16771751</v>
      </c>
      <c r="F224" s="23">
        <f>10911151+23000+4100+20000+120000+250000+20000+936800+1300000+150000+41000+53200+2763500+38000-150000-99000+390000</f>
        <v>16771751</v>
      </c>
      <c r="G224" s="23">
        <f>8000000+577700+1100000+125000+2237600+350000</f>
        <v>12390300</v>
      </c>
      <c r="H224" s="23">
        <f>458151+26200-99000</f>
        <v>385351</v>
      </c>
      <c r="I224" s="25"/>
      <c r="J224" s="103">
        <f>L224+O224</f>
        <v>0</v>
      </c>
      <c r="K224" s="23"/>
      <c r="L224" s="23"/>
      <c r="M224" s="23"/>
      <c r="N224" s="23"/>
      <c r="O224" s="25"/>
      <c r="P224" s="26">
        <f t="shared" si="53"/>
        <v>16771751</v>
      </c>
      <c r="Q224" s="16"/>
    </row>
    <row r="225" spans="1:17" s="27" customFormat="1" ht="12.75" x14ac:dyDescent="0.2">
      <c r="A225" s="96" t="s">
        <v>208</v>
      </c>
      <c r="B225" s="97" t="s">
        <v>14</v>
      </c>
      <c r="C225" s="97" t="s">
        <v>15</v>
      </c>
      <c r="D225" s="2" t="s">
        <v>304</v>
      </c>
      <c r="E225" s="23">
        <f>F225+I225</f>
        <v>9972439</v>
      </c>
      <c r="F225" s="23">
        <f>9775439+197000</f>
        <v>9972439</v>
      </c>
      <c r="G225" s="23">
        <v>6855500</v>
      </c>
      <c r="H225" s="23">
        <f>300339-67000+1600+40000+25000+400</f>
        <v>300339</v>
      </c>
      <c r="I225" s="25"/>
      <c r="J225" s="103">
        <f>L225+O225</f>
        <v>0</v>
      </c>
      <c r="K225" s="23"/>
      <c r="L225" s="23"/>
      <c r="M225" s="23"/>
      <c r="N225" s="23"/>
      <c r="O225" s="25"/>
      <c r="P225" s="26">
        <f t="shared" si="53"/>
        <v>9972439</v>
      </c>
      <c r="Q225" s="16"/>
    </row>
    <row r="226" spans="1:17" s="27" customFormat="1" ht="24" x14ac:dyDescent="0.2">
      <c r="A226" s="96" t="s">
        <v>402</v>
      </c>
      <c r="B226" s="97" t="s">
        <v>215</v>
      </c>
      <c r="C226" s="97" t="s">
        <v>560</v>
      </c>
      <c r="D226" s="2" t="s">
        <v>216</v>
      </c>
      <c r="E226" s="23">
        <f>F226+I226</f>
        <v>23636556</v>
      </c>
      <c r="F226" s="23">
        <f>5601841+358000-1531000</f>
        <v>4428841</v>
      </c>
      <c r="G226" s="23"/>
      <c r="H226" s="23"/>
      <c r="I226" s="25">
        <f>15830023+4500000+57692+390000-1000000-570000</f>
        <v>19207715</v>
      </c>
      <c r="J226" s="103">
        <f>L226+O226</f>
        <v>997354</v>
      </c>
      <c r="K226" s="23">
        <v>997354</v>
      </c>
      <c r="L226" s="23"/>
      <c r="M226" s="23"/>
      <c r="N226" s="23"/>
      <c r="O226" s="25">
        <v>997354</v>
      </c>
      <c r="P226" s="26">
        <f t="shared" si="53"/>
        <v>24633910</v>
      </c>
      <c r="Q226" s="16"/>
    </row>
    <row r="227" spans="1:17" s="27" customFormat="1" ht="12.75" x14ac:dyDescent="0.2">
      <c r="A227" s="96"/>
      <c r="B227" s="97"/>
      <c r="C227" s="97"/>
      <c r="D227" s="2" t="s">
        <v>329</v>
      </c>
      <c r="E227" s="23">
        <f t="shared" ref="E227:E235" si="62">F227+I227</f>
        <v>0</v>
      </c>
      <c r="F227" s="23"/>
      <c r="G227" s="23"/>
      <c r="H227" s="23"/>
      <c r="I227" s="25"/>
      <c r="J227" s="103"/>
      <c r="K227" s="23"/>
      <c r="L227" s="23"/>
      <c r="M227" s="23"/>
      <c r="N227" s="23"/>
      <c r="O227" s="25"/>
      <c r="P227" s="26">
        <f t="shared" si="53"/>
        <v>0</v>
      </c>
      <c r="Q227" s="16"/>
    </row>
    <row r="228" spans="1:17" s="27" customFormat="1" ht="48" x14ac:dyDescent="0.2">
      <c r="A228" s="96"/>
      <c r="B228" s="97"/>
      <c r="C228" s="97"/>
      <c r="D228" s="2" t="s">
        <v>545</v>
      </c>
      <c r="E228" s="23">
        <f t="shared" si="62"/>
        <v>75000</v>
      </c>
      <c r="F228" s="23">
        <v>75000</v>
      </c>
      <c r="G228" s="23"/>
      <c r="H228" s="23"/>
      <c r="I228" s="25"/>
      <c r="J228" s="103"/>
      <c r="K228" s="23"/>
      <c r="L228" s="23"/>
      <c r="M228" s="23"/>
      <c r="N228" s="23"/>
      <c r="O228" s="25"/>
      <c r="P228" s="26">
        <f t="shared" si="53"/>
        <v>75000</v>
      </c>
      <c r="Q228" s="16"/>
    </row>
    <row r="229" spans="1:17" s="27" customFormat="1" ht="48" x14ac:dyDescent="0.2">
      <c r="A229" s="96"/>
      <c r="B229" s="97"/>
      <c r="C229" s="97"/>
      <c r="D229" s="2" t="s">
        <v>546</v>
      </c>
      <c r="E229" s="23">
        <f t="shared" si="62"/>
        <v>75000</v>
      </c>
      <c r="F229" s="23">
        <v>75000</v>
      </c>
      <c r="G229" s="23"/>
      <c r="H229" s="23"/>
      <c r="I229" s="25"/>
      <c r="J229" s="103"/>
      <c r="K229" s="23"/>
      <c r="L229" s="23"/>
      <c r="M229" s="23"/>
      <c r="N229" s="23"/>
      <c r="O229" s="25"/>
      <c r="P229" s="26">
        <f t="shared" si="53"/>
        <v>75000</v>
      </c>
      <c r="Q229" s="16"/>
    </row>
    <row r="230" spans="1:17" s="27" customFormat="1" ht="48" x14ac:dyDescent="0.2">
      <c r="A230" s="96"/>
      <c r="B230" s="97"/>
      <c r="C230" s="97"/>
      <c r="D230" s="2" t="s">
        <v>547</v>
      </c>
      <c r="E230" s="23">
        <f t="shared" si="62"/>
        <v>75000</v>
      </c>
      <c r="F230" s="23">
        <v>75000</v>
      </c>
      <c r="G230" s="23"/>
      <c r="H230" s="23"/>
      <c r="I230" s="25"/>
      <c r="J230" s="103"/>
      <c r="K230" s="23"/>
      <c r="L230" s="23"/>
      <c r="M230" s="23"/>
      <c r="N230" s="23"/>
      <c r="O230" s="25"/>
      <c r="P230" s="26">
        <f t="shared" si="53"/>
        <v>75000</v>
      </c>
      <c r="Q230" s="16"/>
    </row>
    <row r="231" spans="1:17" s="27" customFormat="1" ht="48" x14ac:dyDescent="0.2">
      <c r="A231" s="96"/>
      <c r="B231" s="97"/>
      <c r="C231" s="97"/>
      <c r="D231" s="2" t="s">
        <v>548</v>
      </c>
      <c r="E231" s="23">
        <f t="shared" si="62"/>
        <v>75000</v>
      </c>
      <c r="F231" s="23">
        <v>75000</v>
      </c>
      <c r="G231" s="23"/>
      <c r="H231" s="23"/>
      <c r="I231" s="25"/>
      <c r="J231" s="103"/>
      <c r="K231" s="23"/>
      <c r="L231" s="23"/>
      <c r="M231" s="23"/>
      <c r="N231" s="23"/>
      <c r="O231" s="25"/>
      <c r="P231" s="26">
        <f t="shared" si="53"/>
        <v>75000</v>
      </c>
      <c r="Q231" s="16"/>
    </row>
    <row r="232" spans="1:17" s="27" customFormat="1" ht="48" x14ac:dyDescent="0.2">
      <c r="A232" s="96"/>
      <c r="B232" s="97"/>
      <c r="C232" s="97"/>
      <c r="D232" s="2" t="s">
        <v>549</v>
      </c>
      <c r="E232" s="23">
        <f t="shared" si="62"/>
        <v>75000</v>
      </c>
      <c r="F232" s="23">
        <v>75000</v>
      </c>
      <c r="G232" s="23"/>
      <c r="H232" s="23"/>
      <c r="I232" s="25"/>
      <c r="J232" s="103"/>
      <c r="K232" s="23"/>
      <c r="L232" s="23"/>
      <c r="M232" s="23"/>
      <c r="N232" s="23"/>
      <c r="O232" s="25"/>
      <c r="P232" s="26">
        <f t="shared" si="53"/>
        <v>75000</v>
      </c>
      <c r="Q232" s="16"/>
    </row>
    <row r="233" spans="1:17" s="27" customFormat="1" ht="48" x14ac:dyDescent="0.2">
      <c r="A233" s="96"/>
      <c r="B233" s="97"/>
      <c r="C233" s="97"/>
      <c r="D233" s="2" t="s">
        <v>550</v>
      </c>
      <c r="E233" s="23">
        <f t="shared" si="62"/>
        <v>75000</v>
      </c>
      <c r="F233" s="23">
        <v>75000</v>
      </c>
      <c r="G233" s="23"/>
      <c r="H233" s="23"/>
      <c r="I233" s="25"/>
      <c r="J233" s="103"/>
      <c r="K233" s="23"/>
      <c r="L233" s="23"/>
      <c r="M233" s="23"/>
      <c r="N233" s="23"/>
      <c r="O233" s="25"/>
      <c r="P233" s="26">
        <f t="shared" si="53"/>
        <v>75000</v>
      </c>
      <c r="Q233" s="16"/>
    </row>
    <row r="234" spans="1:17" s="27" customFormat="1" ht="48" x14ac:dyDescent="0.2">
      <c r="A234" s="96"/>
      <c r="B234" s="97"/>
      <c r="C234" s="97"/>
      <c r="D234" s="2" t="s">
        <v>551</v>
      </c>
      <c r="E234" s="23">
        <f t="shared" si="62"/>
        <v>99900</v>
      </c>
      <c r="F234" s="23">
        <v>99900</v>
      </c>
      <c r="G234" s="23"/>
      <c r="H234" s="23"/>
      <c r="I234" s="25"/>
      <c r="J234" s="103"/>
      <c r="K234" s="23"/>
      <c r="L234" s="23"/>
      <c r="M234" s="23"/>
      <c r="N234" s="23"/>
      <c r="O234" s="25"/>
      <c r="P234" s="26">
        <f t="shared" si="53"/>
        <v>99900</v>
      </c>
      <c r="Q234" s="16"/>
    </row>
    <row r="235" spans="1:17" s="27" customFormat="1" ht="60" x14ac:dyDescent="0.2">
      <c r="A235" s="96"/>
      <c r="B235" s="97"/>
      <c r="C235" s="97"/>
      <c r="D235" s="2" t="s">
        <v>552</v>
      </c>
      <c r="E235" s="23">
        <f t="shared" si="62"/>
        <v>75000</v>
      </c>
      <c r="F235" s="23">
        <v>75000</v>
      </c>
      <c r="G235" s="23"/>
      <c r="H235" s="23"/>
      <c r="I235" s="25"/>
      <c r="J235" s="103"/>
      <c r="K235" s="23"/>
      <c r="L235" s="23"/>
      <c r="M235" s="23"/>
      <c r="N235" s="23"/>
      <c r="O235" s="25"/>
      <c r="P235" s="26">
        <f t="shared" si="53"/>
        <v>75000</v>
      </c>
      <c r="Q235" s="16"/>
    </row>
    <row r="236" spans="1:17" s="27" customFormat="1" ht="72" x14ac:dyDescent="0.2">
      <c r="A236" s="96"/>
      <c r="B236" s="97"/>
      <c r="C236" s="97"/>
      <c r="D236" s="35" t="s">
        <v>621</v>
      </c>
      <c r="E236" s="23">
        <f t="shared" ref="E236" si="63">F236+I236</f>
        <v>57692</v>
      </c>
      <c r="F236" s="23"/>
      <c r="G236" s="23"/>
      <c r="H236" s="23"/>
      <c r="I236" s="25">
        <v>57692</v>
      </c>
      <c r="J236" s="103"/>
      <c r="K236" s="23"/>
      <c r="L236" s="23"/>
      <c r="M236" s="23"/>
      <c r="N236" s="23"/>
      <c r="O236" s="25"/>
      <c r="P236" s="26">
        <f t="shared" si="53"/>
        <v>57692</v>
      </c>
      <c r="Q236" s="16"/>
    </row>
    <row r="237" spans="1:17" s="27" customFormat="1" ht="24" x14ac:dyDescent="0.2">
      <c r="A237" s="96" t="s">
        <v>300</v>
      </c>
      <c r="B237" s="97" t="s">
        <v>301</v>
      </c>
      <c r="C237" s="97" t="s">
        <v>24</v>
      </c>
      <c r="D237" s="2" t="s">
        <v>302</v>
      </c>
      <c r="E237" s="23">
        <f t="shared" ref="E237:E258" si="64">F237+I237</f>
        <v>100000</v>
      </c>
      <c r="F237" s="23">
        <v>100000</v>
      </c>
      <c r="G237" s="23"/>
      <c r="H237" s="23"/>
      <c r="I237" s="25"/>
      <c r="J237" s="103">
        <f t="shared" si="45"/>
        <v>0</v>
      </c>
      <c r="K237" s="23"/>
      <c r="L237" s="23"/>
      <c r="M237" s="23"/>
      <c r="N237" s="23"/>
      <c r="O237" s="25"/>
      <c r="P237" s="26">
        <f t="shared" si="53"/>
        <v>100000</v>
      </c>
      <c r="Q237" s="16"/>
    </row>
    <row r="238" spans="1:17" s="27" customFormat="1" ht="12.75" x14ac:dyDescent="0.2">
      <c r="A238" s="96" t="s">
        <v>119</v>
      </c>
      <c r="B238" s="97" t="s">
        <v>91</v>
      </c>
      <c r="C238" s="97" t="s">
        <v>24</v>
      </c>
      <c r="D238" s="2" t="s">
        <v>92</v>
      </c>
      <c r="E238" s="23">
        <f>F238+I238</f>
        <v>286788776</v>
      </c>
      <c r="F238" s="23">
        <f>66046816-150000-197000</f>
        <v>65699816</v>
      </c>
      <c r="G238" s="23"/>
      <c r="H238" s="23">
        <f>18127734+56000-150000</f>
        <v>18033734</v>
      </c>
      <c r="I238" s="25">
        <f>234000500+288460+11000000+25400000-1500000-200000-47900000</f>
        <v>221088960</v>
      </c>
      <c r="J238" s="103">
        <f t="shared" si="45"/>
        <v>4371094</v>
      </c>
      <c r="K238" s="23">
        <f>15566262-322034+622800-11280183-215751</f>
        <v>4371094</v>
      </c>
      <c r="L238" s="23"/>
      <c r="M238" s="23"/>
      <c r="N238" s="23"/>
      <c r="O238" s="25">
        <f>15566262-322034+622800-11280183-215751</f>
        <v>4371094</v>
      </c>
      <c r="P238" s="26">
        <f t="shared" si="53"/>
        <v>291159870</v>
      </c>
      <c r="Q238" s="16"/>
    </row>
    <row r="239" spans="1:17" s="27" customFormat="1" ht="12.75" x14ac:dyDescent="0.2">
      <c r="A239" s="96"/>
      <c r="B239" s="97"/>
      <c r="C239" s="97"/>
      <c r="D239" s="2" t="s">
        <v>329</v>
      </c>
      <c r="E239" s="23"/>
      <c r="F239" s="23"/>
      <c r="G239" s="23"/>
      <c r="H239" s="23"/>
      <c r="I239" s="25"/>
      <c r="J239" s="103"/>
      <c r="K239" s="23"/>
      <c r="L239" s="23"/>
      <c r="M239" s="23"/>
      <c r="N239" s="23"/>
      <c r="O239" s="25"/>
      <c r="P239" s="26">
        <f t="shared" si="53"/>
        <v>0</v>
      </c>
      <c r="Q239" s="16"/>
    </row>
    <row r="240" spans="1:17" s="27" customFormat="1" ht="48" x14ac:dyDescent="0.2">
      <c r="A240" s="96"/>
      <c r="B240" s="97"/>
      <c r="C240" s="97"/>
      <c r="D240" s="2" t="s">
        <v>553</v>
      </c>
      <c r="E240" s="23">
        <f>F240</f>
        <v>20000</v>
      </c>
      <c r="F240" s="23">
        <v>20000</v>
      </c>
      <c r="G240" s="23"/>
      <c r="H240" s="23"/>
      <c r="I240" s="25"/>
      <c r="J240" s="103"/>
      <c r="K240" s="23"/>
      <c r="L240" s="23"/>
      <c r="M240" s="23"/>
      <c r="N240" s="23"/>
      <c r="O240" s="25"/>
      <c r="P240" s="26">
        <f t="shared" si="53"/>
        <v>20000</v>
      </c>
      <c r="Q240" s="16"/>
    </row>
    <row r="241" spans="1:18" s="27" customFormat="1" ht="84" x14ac:dyDescent="0.2">
      <c r="A241" s="96"/>
      <c r="B241" s="97"/>
      <c r="C241" s="97"/>
      <c r="D241" s="35" t="s">
        <v>622</v>
      </c>
      <c r="E241" s="23">
        <f t="shared" ref="E241" si="65">F241+I241</f>
        <v>115384</v>
      </c>
      <c r="F241" s="23"/>
      <c r="G241" s="23"/>
      <c r="H241" s="23"/>
      <c r="I241" s="25">
        <f>115384</f>
        <v>115384</v>
      </c>
      <c r="J241" s="103"/>
      <c r="K241" s="23"/>
      <c r="L241" s="23"/>
      <c r="M241" s="23"/>
      <c r="N241" s="23"/>
      <c r="O241" s="25"/>
      <c r="P241" s="26">
        <f t="shared" si="53"/>
        <v>115384</v>
      </c>
      <c r="Q241" s="16"/>
    </row>
    <row r="242" spans="1:18" s="27" customFormat="1" ht="72" x14ac:dyDescent="0.2">
      <c r="A242" s="96"/>
      <c r="B242" s="97"/>
      <c r="C242" s="97"/>
      <c r="D242" s="35" t="s">
        <v>623</v>
      </c>
      <c r="E242" s="23">
        <f t="shared" ref="E242" si="66">F242+I242</f>
        <v>115384</v>
      </c>
      <c r="F242" s="23"/>
      <c r="G242" s="23"/>
      <c r="H242" s="23"/>
      <c r="I242" s="25">
        <f>115384</f>
        <v>115384</v>
      </c>
      <c r="J242" s="103"/>
      <c r="K242" s="23"/>
      <c r="L242" s="23"/>
      <c r="M242" s="23"/>
      <c r="N242" s="23"/>
      <c r="O242" s="25"/>
      <c r="P242" s="26">
        <f t="shared" si="53"/>
        <v>115384</v>
      </c>
      <c r="Q242" s="16"/>
    </row>
    <row r="243" spans="1:18" s="27" customFormat="1" ht="72" x14ac:dyDescent="0.2">
      <c r="A243" s="96"/>
      <c r="B243" s="97"/>
      <c r="C243" s="97"/>
      <c r="D243" s="35" t="s">
        <v>624</v>
      </c>
      <c r="E243" s="23">
        <f t="shared" ref="E243" si="67">F243+I243</f>
        <v>57692</v>
      </c>
      <c r="F243" s="23"/>
      <c r="G243" s="23"/>
      <c r="H243" s="23"/>
      <c r="I243" s="25">
        <v>57692</v>
      </c>
      <c r="J243" s="103"/>
      <c r="K243" s="23"/>
      <c r="L243" s="23"/>
      <c r="M243" s="23"/>
      <c r="N243" s="23"/>
      <c r="O243" s="25"/>
      <c r="P243" s="26">
        <f t="shared" si="53"/>
        <v>57692</v>
      </c>
      <c r="Q243" s="16"/>
    </row>
    <row r="244" spans="1:18" s="27" customFormat="1" ht="24" x14ac:dyDescent="0.2">
      <c r="A244" s="96" t="s">
        <v>505</v>
      </c>
      <c r="B244" s="97" t="s">
        <v>217</v>
      </c>
      <c r="C244" s="97" t="s">
        <v>194</v>
      </c>
      <c r="D244" s="2" t="s">
        <v>438</v>
      </c>
      <c r="E244" s="23">
        <f>F244+I244</f>
        <v>0</v>
      </c>
      <c r="F244" s="23"/>
      <c r="G244" s="23"/>
      <c r="H244" s="23"/>
      <c r="I244" s="25"/>
      <c r="J244" s="103">
        <f>L244+O244</f>
        <v>5866462</v>
      </c>
      <c r="K244" s="23">
        <f>7252898-45044-992143+215751-565000</f>
        <v>5866462</v>
      </c>
      <c r="L244" s="23"/>
      <c r="M244" s="23"/>
      <c r="N244" s="23"/>
      <c r="O244" s="25">
        <f>7252898-45044-992143+215751-565000</f>
        <v>5866462</v>
      </c>
      <c r="P244" s="26">
        <f t="shared" si="53"/>
        <v>5866462</v>
      </c>
      <c r="Q244" s="16"/>
    </row>
    <row r="245" spans="1:18" s="27" customFormat="1" ht="24" x14ac:dyDescent="0.2">
      <c r="A245" s="96" t="s">
        <v>562</v>
      </c>
      <c r="B245" s="97" t="s">
        <v>563</v>
      </c>
      <c r="C245" s="97" t="s">
        <v>194</v>
      </c>
      <c r="D245" s="2" t="s">
        <v>564</v>
      </c>
      <c r="E245" s="23"/>
      <c r="F245" s="23"/>
      <c r="G245" s="23"/>
      <c r="H245" s="23"/>
      <c r="I245" s="25"/>
      <c r="J245" s="103">
        <f>L245+O245</f>
        <v>1220000</v>
      </c>
      <c r="K245" s="23">
        <f>350000+470000+400000</f>
        <v>1220000</v>
      </c>
      <c r="L245" s="23"/>
      <c r="M245" s="23"/>
      <c r="N245" s="23"/>
      <c r="O245" s="25">
        <f>350000+470000+400000</f>
        <v>1220000</v>
      </c>
      <c r="P245" s="26">
        <f t="shared" si="53"/>
        <v>1220000</v>
      </c>
      <c r="Q245" s="16"/>
    </row>
    <row r="246" spans="1:18" s="27" customFormat="1" ht="12.75" x14ac:dyDescent="0.2">
      <c r="A246" s="96"/>
      <c r="B246" s="97"/>
      <c r="C246" s="97"/>
      <c r="D246" s="2" t="s">
        <v>329</v>
      </c>
      <c r="E246" s="23"/>
      <c r="F246" s="23"/>
      <c r="G246" s="23"/>
      <c r="H246" s="23"/>
      <c r="I246" s="25"/>
      <c r="J246" s="103"/>
      <c r="K246" s="23"/>
      <c r="L246" s="23"/>
      <c r="M246" s="23"/>
      <c r="N246" s="23"/>
      <c r="O246" s="25"/>
      <c r="P246" s="26">
        <f t="shared" si="53"/>
        <v>0</v>
      </c>
      <c r="Q246" s="16"/>
    </row>
    <row r="247" spans="1:18" s="27" customFormat="1" ht="60" x14ac:dyDescent="0.2">
      <c r="A247" s="96"/>
      <c r="B247" s="97"/>
      <c r="C247" s="97"/>
      <c r="D247" s="35" t="s">
        <v>561</v>
      </c>
      <c r="E247" s="23"/>
      <c r="F247" s="23"/>
      <c r="G247" s="23"/>
      <c r="H247" s="23"/>
      <c r="I247" s="25"/>
      <c r="J247" s="103">
        <f t="shared" ref="J247" si="68">L247+O247</f>
        <v>1220000</v>
      </c>
      <c r="K247" s="23">
        <f>350000+470000+400000</f>
        <v>1220000</v>
      </c>
      <c r="L247" s="23"/>
      <c r="M247" s="23"/>
      <c r="N247" s="23"/>
      <c r="O247" s="25">
        <f>350000+470000+400000</f>
        <v>1220000</v>
      </c>
      <c r="P247" s="26">
        <f t="shared" si="53"/>
        <v>1220000</v>
      </c>
      <c r="Q247" s="16"/>
      <c r="R247" s="37"/>
    </row>
    <row r="248" spans="1:18" s="27" customFormat="1" ht="27.75" customHeight="1" x14ac:dyDescent="0.2">
      <c r="A248" s="96" t="s">
        <v>609</v>
      </c>
      <c r="B248" s="97" t="s">
        <v>610</v>
      </c>
      <c r="C248" s="97" t="s">
        <v>210</v>
      </c>
      <c r="D248" s="2" t="s">
        <v>611</v>
      </c>
      <c r="E248" s="23">
        <f>F248+I248</f>
        <v>173080</v>
      </c>
      <c r="F248" s="23"/>
      <c r="G248" s="23"/>
      <c r="H248" s="23"/>
      <c r="I248" s="25">
        <v>173080</v>
      </c>
      <c r="J248" s="103"/>
      <c r="K248" s="23"/>
      <c r="L248" s="23"/>
      <c r="M248" s="23"/>
      <c r="N248" s="23"/>
      <c r="O248" s="25"/>
      <c r="P248" s="26">
        <f t="shared" si="53"/>
        <v>173080</v>
      </c>
      <c r="Q248" s="16"/>
      <c r="R248" s="37"/>
    </row>
    <row r="249" spans="1:18" s="27" customFormat="1" ht="12.75" x14ac:dyDescent="0.2">
      <c r="A249" s="96"/>
      <c r="B249" s="97"/>
      <c r="C249" s="97"/>
      <c r="D249" s="2" t="s">
        <v>329</v>
      </c>
      <c r="E249" s="23"/>
      <c r="F249" s="23"/>
      <c r="G249" s="23"/>
      <c r="H249" s="23"/>
      <c r="I249" s="25"/>
      <c r="J249" s="103"/>
      <c r="K249" s="23"/>
      <c r="L249" s="23"/>
      <c r="M249" s="23"/>
      <c r="N249" s="23"/>
      <c r="O249" s="25"/>
      <c r="P249" s="26">
        <f t="shared" si="53"/>
        <v>0</v>
      </c>
      <c r="Q249" s="16"/>
    </row>
    <row r="250" spans="1:18" s="27" customFormat="1" ht="72" x14ac:dyDescent="0.2">
      <c r="A250" s="96"/>
      <c r="B250" s="97"/>
      <c r="C250" s="97"/>
      <c r="D250" s="35" t="s">
        <v>625</v>
      </c>
      <c r="E250" s="23">
        <f t="shared" ref="E250" si="69">F250+I250</f>
        <v>173080</v>
      </c>
      <c r="F250" s="23"/>
      <c r="G250" s="23"/>
      <c r="H250" s="23"/>
      <c r="I250" s="25">
        <f>173080</f>
        <v>173080</v>
      </c>
      <c r="J250" s="103"/>
      <c r="K250" s="23"/>
      <c r="L250" s="23"/>
      <c r="M250" s="23"/>
      <c r="N250" s="23"/>
      <c r="O250" s="25"/>
      <c r="P250" s="26">
        <f t="shared" si="53"/>
        <v>173080</v>
      </c>
      <c r="Q250" s="16"/>
    </row>
    <row r="251" spans="1:18" s="27" customFormat="1" ht="24" x14ac:dyDescent="0.2">
      <c r="A251" s="96" t="s">
        <v>120</v>
      </c>
      <c r="B251" s="97" t="s">
        <v>76</v>
      </c>
      <c r="C251" s="97" t="s">
        <v>25</v>
      </c>
      <c r="D251" s="2" t="s">
        <v>12</v>
      </c>
      <c r="E251" s="23">
        <f t="shared" si="64"/>
        <v>0</v>
      </c>
      <c r="F251" s="23"/>
      <c r="G251" s="23"/>
      <c r="H251" s="23"/>
      <c r="I251" s="25"/>
      <c r="J251" s="103">
        <f>L251+O251</f>
        <v>68052850</v>
      </c>
      <c r="K251" s="23">
        <f>SUM(K252:K257)</f>
        <v>68052850</v>
      </c>
      <c r="L251" s="23">
        <f t="shared" ref="L251:N251" si="70">SUM(L252:L257)</f>
        <v>0</v>
      </c>
      <c r="M251" s="23">
        <f t="shared" si="70"/>
        <v>0</v>
      </c>
      <c r="N251" s="23">
        <f t="shared" si="70"/>
        <v>0</v>
      </c>
      <c r="O251" s="25">
        <f>SUM(O252:O257)</f>
        <v>68052850</v>
      </c>
      <c r="P251" s="26">
        <f t="shared" si="53"/>
        <v>68052850</v>
      </c>
      <c r="Q251" s="16"/>
    </row>
    <row r="252" spans="1:18" s="27" customFormat="1" ht="12.75" x14ac:dyDescent="0.2">
      <c r="A252" s="96"/>
      <c r="B252" s="97"/>
      <c r="C252" s="97"/>
      <c r="D252" s="2" t="s">
        <v>329</v>
      </c>
      <c r="E252" s="23"/>
      <c r="F252" s="23"/>
      <c r="G252" s="23"/>
      <c r="H252" s="23"/>
      <c r="I252" s="25"/>
      <c r="J252" s="103"/>
      <c r="K252" s="23"/>
      <c r="L252" s="23"/>
      <c r="M252" s="23"/>
      <c r="N252" s="23"/>
      <c r="O252" s="25"/>
      <c r="P252" s="26">
        <f t="shared" si="53"/>
        <v>0</v>
      </c>
      <c r="Q252" s="16"/>
    </row>
    <row r="253" spans="1:18" s="27" customFormat="1" ht="12.75" x14ac:dyDescent="0.2">
      <c r="A253" s="96"/>
      <c r="B253" s="97"/>
      <c r="C253" s="97"/>
      <c r="D253" s="2" t="s">
        <v>587</v>
      </c>
      <c r="E253" s="23"/>
      <c r="F253" s="23"/>
      <c r="G253" s="23"/>
      <c r="H253" s="23"/>
      <c r="I253" s="25"/>
      <c r="J253" s="103">
        <f>L253+O253</f>
        <v>1463400</v>
      </c>
      <c r="K253" s="23">
        <f>1463400</f>
        <v>1463400</v>
      </c>
      <c r="L253" s="23"/>
      <c r="M253" s="23"/>
      <c r="N253" s="23"/>
      <c r="O253" s="25">
        <f>1463400</f>
        <v>1463400</v>
      </c>
      <c r="P253" s="26">
        <f t="shared" si="53"/>
        <v>1463400</v>
      </c>
      <c r="Q253" s="16"/>
    </row>
    <row r="254" spans="1:18" s="27" customFormat="1" ht="12.75" x14ac:dyDescent="0.2">
      <c r="A254" s="96"/>
      <c r="B254" s="97"/>
      <c r="C254" s="97"/>
      <c r="D254" s="2" t="s">
        <v>446</v>
      </c>
      <c r="E254" s="23"/>
      <c r="F254" s="23"/>
      <c r="G254" s="23"/>
      <c r="H254" s="23"/>
      <c r="I254" s="25"/>
      <c r="J254" s="103">
        <f>L254+O254</f>
        <v>64635000</v>
      </c>
      <c r="K254" s="23">
        <f>65000000+2082000-2447000</f>
        <v>64635000</v>
      </c>
      <c r="L254" s="23"/>
      <c r="M254" s="23"/>
      <c r="N254" s="23"/>
      <c r="O254" s="25">
        <f>65000000+2082000-2447000</f>
        <v>64635000</v>
      </c>
      <c r="P254" s="26">
        <f t="shared" si="53"/>
        <v>64635000</v>
      </c>
      <c r="Q254" s="16"/>
    </row>
    <row r="255" spans="1:18" s="27" customFormat="1" ht="12.75" x14ac:dyDescent="0.2">
      <c r="A255" s="96"/>
      <c r="B255" s="97"/>
      <c r="C255" s="97"/>
      <c r="D255" s="2" t="s">
        <v>506</v>
      </c>
      <c r="E255" s="23"/>
      <c r="F255" s="23"/>
      <c r="G255" s="23"/>
      <c r="H255" s="23"/>
      <c r="I255" s="25"/>
      <c r="J255" s="103">
        <f t="shared" ref="J255:J257" si="71">L255+O255</f>
        <v>500000</v>
      </c>
      <c r="K255" s="23">
        <v>500000</v>
      </c>
      <c r="L255" s="23"/>
      <c r="M255" s="23"/>
      <c r="N255" s="23"/>
      <c r="O255" s="25">
        <v>500000</v>
      </c>
      <c r="P255" s="26">
        <f t="shared" ref="P255:P312" si="72">E255+J255</f>
        <v>500000</v>
      </c>
      <c r="Q255" s="16"/>
    </row>
    <row r="256" spans="1:18" s="27" customFormat="1" ht="12.75" x14ac:dyDescent="0.2">
      <c r="A256" s="96"/>
      <c r="B256" s="97"/>
      <c r="C256" s="97"/>
      <c r="D256" s="2" t="s">
        <v>507</v>
      </c>
      <c r="E256" s="23"/>
      <c r="F256" s="23"/>
      <c r="G256" s="23"/>
      <c r="H256" s="23"/>
      <c r="I256" s="25"/>
      <c r="J256" s="103">
        <f t="shared" si="71"/>
        <v>120000</v>
      </c>
      <c r="K256" s="23">
        <f>3705550+120000-3705550</f>
        <v>120000</v>
      </c>
      <c r="L256" s="23"/>
      <c r="M256" s="23"/>
      <c r="N256" s="23"/>
      <c r="O256" s="25">
        <f>3705550+120000-3705550</f>
        <v>120000</v>
      </c>
      <c r="P256" s="26">
        <f t="shared" si="72"/>
        <v>120000</v>
      </c>
      <c r="Q256" s="16"/>
    </row>
    <row r="257" spans="1:18" s="27" customFormat="1" ht="12.75" x14ac:dyDescent="0.2">
      <c r="A257" s="96"/>
      <c r="B257" s="97"/>
      <c r="C257" s="97"/>
      <c r="D257" s="2" t="s">
        <v>508</v>
      </c>
      <c r="E257" s="23"/>
      <c r="F257" s="23"/>
      <c r="G257" s="23"/>
      <c r="H257" s="23"/>
      <c r="I257" s="25"/>
      <c r="J257" s="103">
        <f t="shared" si="71"/>
        <v>1334450</v>
      </c>
      <c r="K257" s="23">
        <f>1334450+390000-390000</f>
        <v>1334450</v>
      </c>
      <c r="L257" s="23"/>
      <c r="M257" s="23"/>
      <c r="N257" s="23"/>
      <c r="O257" s="25">
        <f>1334450+390000-390000</f>
        <v>1334450</v>
      </c>
      <c r="P257" s="26">
        <f t="shared" si="72"/>
        <v>1334450</v>
      </c>
      <c r="Q257" s="16"/>
    </row>
    <row r="258" spans="1:18" s="27" customFormat="1" ht="24" x14ac:dyDescent="0.2">
      <c r="A258" s="96" t="s">
        <v>276</v>
      </c>
      <c r="B258" s="97" t="s">
        <v>93</v>
      </c>
      <c r="C258" s="97" t="s">
        <v>17</v>
      </c>
      <c r="D258" s="2" t="s">
        <v>9</v>
      </c>
      <c r="E258" s="23">
        <f t="shared" si="64"/>
        <v>0</v>
      </c>
      <c r="F258" s="23"/>
      <c r="G258" s="23"/>
      <c r="H258" s="23"/>
      <c r="I258" s="25"/>
      <c r="J258" s="103">
        <f t="shared" si="45"/>
        <v>130000</v>
      </c>
      <c r="K258" s="23"/>
      <c r="L258" s="23">
        <v>130000</v>
      </c>
      <c r="M258" s="23"/>
      <c r="N258" s="23"/>
      <c r="O258" s="25"/>
      <c r="P258" s="26">
        <f t="shared" si="72"/>
        <v>130000</v>
      </c>
      <c r="Q258" s="16"/>
    </row>
    <row r="259" spans="1:18" s="27" customFormat="1" ht="48" x14ac:dyDescent="0.2">
      <c r="A259" s="96" t="s">
        <v>569</v>
      </c>
      <c r="B259" s="97" t="s">
        <v>570</v>
      </c>
      <c r="C259" s="97" t="s">
        <v>560</v>
      </c>
      <c r="D259" s="1" t="s">
        <v>571</v>
      </c>
      <c r="E259" s="23">
        <f>F259+I259</f>
        <v>3670091</v>
      </c>
      <c r="F259" s="23">
        <v>2259216</v>
      </c>
      <c r="G259" s="23"/>
      <c r="H259" s="23"/>
      <c r="I259" s="25">
        <v>1410875</v>
      </c>
      <c r="J259" s="103"/>
      <c r="K259" s="23"/>
      <c r="L259" s="23"/>
      <c r="M259" s="23"/>
      <c r="N259" s="23"/>
      <c r="O259" s="25"/>
      <c r="P259" s="26">
        <f t="shared" si="72"/>
        <v>3670091</v>
      </c>
      <c r="Q259" s="16"/>
    </row>
    <row r="260" spans="1:18" s="27" customFormat="1" ht="24" x14ac:dyDescent="0.2">
      <c r="A260" s="96" t="s">
        <v>572</v>
      </c>
      <c r="B260" s="97" t="s">
        <v>535</v>
      </c>
      <c r="C260" s="97" t="s">
        <v>15</v>
      </c>
      <c r="D260" s="1" t="s">
        <v>537</v>
      </c>
      <c r="E260" s="23">
        <f>F260+I260</f>
        <v>130000</v>
      </c>
      <c r="F260" s="23">
        <v>130000</v>
      </c>
      <c r="G260" s="23"/>
      <c r="H260" s="23">
        <v>130000</v>
      </c>
      <c r="I260" s="25"/>
      <c r="J260" s="103"/>
      <c r="K260" s="23"/>
      <c r="L260" s="23"/>
      <c r="M260" s="23"/>
      <c r="N260" s="23"/>
      <c r="O260" s="25"/>
      <c r="P260" s="26">
        <f t="shared" si="72"/>
        <v>130000</v>
      </c>
      <c r="Q260" s="16"/>
    </row>
    <row r="261" spans="1:18" s="17" customFormat="1" ht="25.5" x14ac:dyDescent="0.2">
      <c r="A261" s="33" t="s">
        <v>308</v>
      </c>
      <c r="B261" s="19"/>
      <c r="C261" s="19"/>
      <c r="D261" s="20" t="s">
        <v>310</v>
      </c>
      <c r="E261" s="21">
        <f>F261+I261</f>
        <v>103865015</v>
      </c>
      <c r="F261" s="21">
        <f t="shared" ref="F261:O261" si="73">SUM(F262:F265)+F268+F271+F274</f>
        <v>68046539</v>
      </c>
      <c r="G261" s="21">
        <f t="shared" si="73"/>
        <v>11242200</v>
      </c>
      <c r="H261" s="21">
        <f t="shared" si="73"/>
        <v>168000</v>
      </c>
      <c r="I261" s="22">
        <f t="shared" si="73"/>
        <v>35818476</v>
      </c>
      <c r="J261" s="104">
        <f t="shared" si="73"/>
        <v>11529800</v>
      </c>
      <c r="K261" s="21">
        <f t="shared" si="73"/>
        <v>10629800</v>
      </c>
      <c r="L261" s="21">
        <f t="shared" si="73"/>
        <v>0</v>
      </c>
      <c r="M261" s="21">
        <f t="shared" si="73"/>
        <v>0</v>
      </c>
      <c r="N261" s="21">
        <f t="shared" si="73"/>
        <v>0</v>
      </c>
      <c r="O261" s="22">
        <f t="shared" si="73"/>
        <v>11529800</v>
      </c>
      <c r="P261" s="26">
        <f t="shared" si="72"/>
        <v>115394815</v>
      </c>
      <c r="Q261" s="16"/>
      <c r="R261" s="16"/>
    </row>
    <row r="262" spans="1:18" s="17" customFormat="1" ht="25.5" x14ac:dyDescent="0.2">
      <c r="A262" s="33" t="s">
        <v>309</v>
      </c>
      <c r="B262" s="19"/>
      <c r="C262" s="19"/>
      <c r="D262" s="20" t="s">
        <v>310</v>
      </c>
      <c r="E262" s="21"/>
      <c r="F262" s="21"/>
      <c r="G262" s="21"/>
      <c r="H262" s="21"/>
      <c r="I262" s="22"/>
      <c r="J262" s="103"/>
      <c r="K262" s="23"/>
      <c r="L262" s="21"/>
      <c r="M262" s="21"/>
      <c r="N262" s="21"/>
      <c r="O262" s="22"/>
      <c r="P262" s="26">
        <f t="shared" si="72"/>
        <v>0</v>
      </c>
      <c r="Q262" s="16"/>
      <c r="R262" s="43"/>
    </row>
    <row r="263" spans="1:18" s="27" customFormat="1" ht="36" x14ac:dyDescent="0.2">
      <c r="A263" s="96" t="s">
        <v>311</v>
      </c>
      <c r="B263" s="97" t="s">
        <v>59</v>
      </c>
      <c r="C263" s="97" t="s">
        <v>22</v>
      </c>
      <c r="D263" s="2" t="s">
        <v>412</v>
      </c>
      <c r="E263" s="23">
        <f>F263+I263</f>
        <v>8453455</v>
      </c>
      <c r="F263" s="23">
        <f>6202000+482079+50000+80000+1638600+5000+15776-20000</f>
        <v>8453455</v>
      </c>
      <c r="G263" s="23">
        <f>4700000+295000-65000+1342400-20000</f>
        <v>6252400</v>
      </c>
      <c r="H263" s="23">
        <v>168000</v>
      </c>
      <c r="I263" s="25"/>
      <c r="J263" s="103">
        <f t="shared" ref="J263" si="74">L263+O263</f>
        <v>0</v>
      </c>
      <c r="K263" s="23"/>
      <c r="L263" s="23"/>
      <c r="M263" s="23"/>
      <c r="N263" s="23"/>
      <c r="O263" s="25"/>
      <c r="P263" s="26">
        <f t="shared" si="72"/>
        <v>8453455</v>
      </c>
      <c r="Q263" s="16"/>
      <c r="R263" s="45"/>
    </row>
    <row r="264" spans="1:18" s="27" customFormat="1" ht="12.75" x14ac:dyDescent="0.2">
      <c r="A264" s="96" t="s">
        <v>335</v>
      </c>
      <c r="B264" s="97" t="s">
        <v>14</v>
      </c>
      <c r="C264" s="97" t="s">
        <v>15</v>
      </c>
      <c r="D264" s="2" t="s">
        <v>304</v>
      </c>
      <c r="E264" s="23">
        <f>F264+I264</f>
        <v>7882086</v>
      </c>
      <c r="F264" s="23">
        <f>7897862-15776</f>
        <v>7882086</v>
      </c>
      <c r="G264" s="23">
        <f>3500000+220000+1269800</f>
        <v>4989800</v>
      </c>
      <c r="H264" s="23"/>
      <c r="I264" s="25"/>
      <c r="J264" s="103"/>
      <c r="K264" s="23"/>
      <c r="L264" s="23"/>
      <c r="M264" s="23"/>
      <c r="N264" s="23"/>
      <c r="O264" s="25"/>
      <c r="P264" s="26">
        <f t="shared" si="72"/>
        <v>7882086</v>
      </c>
      <c r="Q264" s="16"/>
      <c r="R264" s="45"/>
    </row>
    <row r="265" spans="1:18" s="27" customFormat="1" ht="24" x14ac:dyDescent="0.2">
      <c r="A265" s="96" t="s">
        <v>414</v>
      </c>
      <c r="B265" s="97" t="s">
        <v>89</v>
      </c>
      <c r="C265" s="97" t="s">
        <v>24</v>
      </c>
      <c r="D265" s="2" t="s">
        <v>90</v>
      </c>
      <c r="E265" s="23">
        <f>F265+I265</f>
        <v>13665384</v>
      </c>
      <c r="F265" s="23"/>
      <c r="G265" s="23"/>
      <c r="H265" s="23"/>
      <c r="I265" s="25">
        <f>18550000+115384-5000000</f>
        <v>13665384</v>
      </c>
      <c r="J265" s="103"/>
      <c r="K265" s="23"/>
      <c r="L265" s="23"/>
      <c r="M265" s="23"/>
      <c r="N265" s="23"/>
      <c r="O265" s="25"/>
      <c r="P265" s="26">
        <f t="shared" si="72"/>
        <v>13665384</v>
      </c>
      <c r="Q265" s="16"/>
      <c r="R265" s="45"/>
    </row>
    <row r="266" spans="1:18" s="27" customFormat="1" ht="12.75" x14ac:dyDescent="0.2">
      <c r="A266" s="96"/>
      <c r="B266" s="97"/>
      <c r="C266" s="97"/>
      <c r="D266" s="2" t="s">
        <v>329</v>
      </c>
      <c r="E266" s="23"/>
      <c r="F266" s="23"/>
      <c r="G266" s="23"/>
      <c r="H266" s="23"/>
      <c r="I266" s="25"/>
      <c r="J266" s="103"/>
      <c r="K266" s="23"/>
      <c r="L266" s="23"/>
      <c r="M266" s="23"/>
      <c r="N266" s="23"/>
      <c r="O266" s="25"/>
      <c r="P266" s="26">
        <f t="shared" si="72"/>
        <v>0</v>
      </c>
      <c r="Q266" s="16"/>
      <c r="R266" s="45"/>
    </row>
    <row r="267" spans="1:18" s="27" customFormat="1" ht="98.25" customHeight="1" x14ac:dyDescent="0.2">
      <c r="A267" s="96"/>
      <c r="B267" s="97"/>
      <c r="C267" s="97"/>
      <c r="D267" s="35" t="s">
        <v>626</v>
      </c>
      <c r="E267" s="23">
        <f t="shared" ref="E267" si="75">F267+I267</f>
        <v>115384</v>
      </c>
      <c r="F267" s="23"/>
      <c r="G267" s="23"/>
      <c r="H267" s="23"/>
      <c r="I267" s="25">
        <f>115384</f>
        <v>115384</v>
      </c>
      <c r="J267" s="103"/>
      <c r="K267" s="23"/>
      <c r="L267" s="23"/>
      <c r="M267" s="23"/>
      <c r="N267" s="23"/>
      <c r="O267" s="25"/>
      <c r="P267" s="26">
        <f t="shared" si="72"/>
        <v>115384</v>
      </c>
      <c r="Q267" s="16"/>
      <c r="R267" s="45"/>
    </row>
    <row r="268" spans="1:18" s="27" customFormat="1" ht="12.75" x14ac:dyDescent="0.2">
      <c r="A268" s="96" t="s">
        <v>331</v>
      </c>
      <c r="B268" s="97" t="s">
        <v>91</v>
      </c>
      <c r="C268" s="97" t="s">
        <v>24</v>
      </c>
      <c r="D268" s="2" t="s">
        <v>92</v>
      </c>
      <c r="E268" s="23">
        <f>F268+I268</f>
        <v>73864090</v>
      </c>
      <c r="F268" s="23">
        <f>55341298-2200000-99300-1328991-2009</f>
        <v>51710998</v>
      </c>
      <c r="G268" s="23"/>
      <c r="H268" s="23"/>
      <c r="I268" s="25">
        <f>23495400+57692+3000000-2000000-2400000</f>
        <v>22153092</v>
      </c>
      <c r="J268" s="103">
        <f>L268+O268</f>
        <v>329800</v>
      </c>
      <c r="K268" s="23">
        <f>10022824-70000-9623024</f>
        <v>329800</v>
      </c>
      <c r="L268" s="23"/>
      <c r="M268" s="23"/>
      <c r="N268" s="23"/>
      <c r="O268" s="25">
        <f>10022824-70000-9623024</f>
        <v>329800</v>
      </c>
      <c r="P268" s="26">
        <f t="shared" si="72"/>
        <v>74193890</v>
      </c>
      <c r="Q268" s="16"/>
    </row>
    <row r="269" spans="1:18" s="27" customFormat="1" ht="12.75" x14ac:dyDescent="0.2">
      <c r="A269" s="96"/>
      <c r="B269" s="97"/>
      <c r="C269" s="97"/>
      <c r="D269" s="2" t="s">
        <v>329</v>
      </c>
      <c r="E269" s="23"/>
      <c r="F269" s="23"/>
      <c r="G269" s="23"/>
      <c r="H269" s="23"/>
      <c r="I269" s="25"/>
      <c r="J269" s="103"/>
      <c r="K269" s="23"/>
      <c r="L269" s="23"/>
      <c r="M269" s="23"/>
      <c r="N269" s="23"/>
      <c r="O269" s="25"/>
      <c r="P269" s="26">
        <f t="shared" si="72"/>
        <v>0</v>
      </c>
      <c r="Q269" s="16"/>
    </row>
    <row r="270" spans="1:18" s="27" customFormat="1" ht="79.5" customHeight="1" x14ac:dyDescent="0.2">
      <c r="A270" s="96"/>
      <c r="B270" s="97"/>
      <c r="C270" s="97"/>
      <c r="D270" s="35" t="s">
        <v>627</v>
      </c>
      <c r="E270" s="23">
        <f t="shared" ref="E270" si="76">F270+I270</f>
        <v>57692</v>
      </c>
      <c r="F270" s="23"/>
      <c r="G270" s="23"/>
      <c r="H270" s="23"/>
      <c r="I270" s="25">
        <v>57692</v>
      </c>
      <c r="J270" s="103"/>
      <c r="K270" s="23"/>
      <c r="L270" s="23"/>
      <c r="M270" s="23"/>
      <c r="N270" s="23"/>
      <c r="O270" s="25"/>
      <c r="P270" s="26">
        <f t="shared" si="72"/>
        <v>57692</v>
      </c>
      <c r="Q270" s="16"/>
    </row>
    <row r="271" spans="1:18" s="27" customFormat="1" ht="24" x14ac:dyDescent="0.2">
      <c r="A271" s="96" t="s">
        <v>332</v>
      </c>
      <c r="B271" s="97" t="s">
        <v>76</v>
      </c>
      <c r="C271" s="97" t="s">
        <v>25</v>
      </c>
      <c r="D271" s="2" t="s">
        <v>53</v>
      </c>
      <c r="E271" s="23"/>
      <c r="F271" s="23"/>
      <c r="G271" s="23"/>
      <c r="H271" s="23"/>
      <c r="I271" s="25"/>
      <c r="J271" s="103">
        <f>L271+O271</f>
        <v>10300000</v>
      </c>
      <c r="K271" s="23">
        <f>SUM(K272:K273)</f>
        <v>10300000</v>
      </c>
      <c r="L271" s="23">
        <f>SUM(L272:L273)</f>
        <v>0</v>
      </c>
      <c r="M271" s="23">
        <f>SUM(M272:M273)</f>
        <v>0</v>
      </c>
      <c r="N271" s="23">
        <f>SUM(N272:N273)</f>
        <v>0</v>
      </c>
      <c r="O271" s="25">
        <f>SUM(O272:O273)</f>
        <v>10300000</v>
      </c>
      <c r="P271" s="26">
        <f t="shared" si="72"/>
        <v>10300000</v>
      </c>
      <c r="Q271" s="16"/>
    </row>
    <row r="272" spans="1:18" s="27" customFormat="1" ht="12.75" x14ac:dyDescent="0.2">
      <c r="A272" s="96"/>
      <c r="B272" s="97"/>
      <c r="C272" s="97"/>
      <c r="D272" s="2" t="s">
        <v>329</v>
      </c>
      <c r="E272" s="23"/>
      <c r="F272" s="23"/>
      <c r="G272" s="23"/>
      <c r="H272" s="23"/>
      <c r="I272" s="25"/>
      <c r="J272" s="103"/>
      <c r="K272" s="23"/>
      <c r="L272" s="23"/>
      <c r="M272" s="23"/>
      <c r="N272" s="23"/>
      <c r="O272" s="25"/>
      <c r="P272" s="26">
        <f t="shared" si="72"/>
        <v>0</v>
      </c>
      <c r="Q272" s="16"/>
    </row>
    <row r="273" spans="1:18" s="27" customFormat="1" ht="12.75" x14ac:dyDescent="0.2">
      <c r="A273" s="96"/>
      <c r="B273" s="97"/>
      <c r="C273" s="97"/>
      <c r="D273" s="2" t="s">
        <v>447</v>
      </c>
      <c r="E273" s="23"/>
      <c r="F273" s="23"/>
      <c r="G273" s="23"/>
      <c r="H273" s="23"/>
      <c r="I273" s="25"/>
      <c r="J273" s="103">
        <f>L273+O273</f>
        <v>10300000</v>
      </c>
      <c r="K273" s="23">
        <f>30300000-10469300-9530700</f>
        <v>10300000</v>
      </c>
      <c r="L273" s="23"/>
      <c r="M273" s="23"/>
      <c r="N273" s="23"/>
      <c r="O273" s="25">
        <f>30300000-10469300-9530700</f>
        <v>10300000</v>
      </c>
      <c r="P273" s="26">
        <f t="shared" si="72"/>
        <v>10300000</v>
      </c>
      <c r="Q273" s="16"/>
    </row>
    <row r="274" spans="1:18" s="27" customFormat="1" ht="24" x14ac:dyDescent="0.2">
      <c r="A274" s="96" t="s">
        <v>588</v>
      </c>
      <c r="B274" s="97" t="s">
        <v>93</v>
      </c>
      <c r="C274" s="97" t="s">
        <v>17</v>
      </c>
      <c r="D274" s="2" t="s">
        <v>9</v>
      </c>
      <c r="E274" s="23"/>
      <c r="F274" s="23"/>
      <c r="G274" s="23"/>
      <c r="H274" s="23"/>
      <c r="I274" s="25"/>
      <c r="J274" s="103">
        <f>L274+O274</f>
        <v>900000</v>
      </c>
      <c r="K274" s="23"/>
      <c r="L274" s="23"/>
      <c r="M274" s="23"/>
      <c r="N274" s="23"/>
      <c r="O274" s="25">
        <f>900000</f>
        <v>900000</v>
      </c>
      <c r="P274" s="26">
        <f t="shared" si="72"/>
        <v>900000</v>
      </c>
      <c r="Q274" s="16"/>
    </row>
    <row r="275" spans="1:18" s="17" customFormat="1" ht="25.5" x14ac:dyDescent="0.2">
      <c r="A275" s="33" t="s">
        <v>204</v>
      </c>
      <c r="B275" s="19"/>
      <c r="C275" s="19"/>
      <c r="D275" s="20" t="s">
        <v>340</v>
      </c>
      <c r="E275" s="21">
        <f>SUM(E276:E288)</f>
        <v>36498051</v>
      </c>
      <c r="F275" s="21">
        <f>SUM(F276:F288)</f>
        <v>35379565</v>
      </c>
      <c r="G275" s="21">
        <f>SUM(G276:G288)</f>
        <v>5713000</v>
      </c>
      <c r="H275" s="21">
        <f>SUM(H276:H288)</f>
        <v>409000</v>
      </c>
      <c r="I275" s="22">
        <f>I277+I278+I366+I281+I282</f>
        <v>1118486</v>
      </c>
      <c r="J275" s="104">
        <f>SUM(J277:J283)+J286+J287+J288</f>
        <v>157425198</v>
      </c>
      <c r="K275" s="21">
        <f t="shared" ref="K275:O275" si="77">SUM(K277:K283)+K286+K287+K288</f>
        <v>156625198</v>
      </c>
      <c r="L275" s="21">
        <f t="shared" si="77"/>
        <v>800000</v>
      </c>
      <c r="M275" s="21">
        <f t="shared" si="77"/>
        <v>500000</v>
      </c>
      <c r="N275" s="21">
        <f t="shared" si="77"/>
        <v>0</v>
      </c>
      <c r="O275" s="22">
        <f t="shared" si="77"/>
        <v>156625198</v>
      </c>
      <c r="P275" s="26">
        <f t="shared" si="72"/>
        <v>193923249</v>
      </c>
      <c r="Q275" s="16"/>
      <c r="R275" s="16"/>
    </row>
    <row r="276" spans="1:18" s="17" customFormat="1" ht="25.5" x14ac:dyDescent="0.2">
      <c r="A276" s="33" t="s">
        <v>205</v>
      </c>
      <c r="B276" s="19"/>
      <c r="C276" s="19"/>
      <c r="D276" s="20" t="s">
        <v>340</v>
      </c>
      <c r="E276" s="21"/>
      <c r="F276" s="21"/>
      <c r="G276" s="21"/>
      <c r="H276" s="21"/>
      <c r="I276" s="22"/>
      <c r="J276" s="103"/>
      <c r="K276" s="23"/>
      <c r="L276" s="21"/>
      <c r="M276" s="21"/>
      <c r="N276" s="21"/>
      <c r="O276" s="22"/>
      <c r="P276" s="26">
        <f t="shared" si="72"/>
        <v>0</v>
      </c>
      <c r="Q276" s="16"/>
    </row>
    <row r="277" spans="1:18" s="27" customFormat="1" ht="36" x14ac:dyDescent="0.2">
      <c r="A277" s="96" t="s">
        <v>206</v>
      </c>
      <c r="B277" s="97" t="s">
        <v>59</v>
      </c>
      <c r="C277" s="97" t="s">
        <v>22</v>
      </c>
      <c r="D277" s="2" t="s">
        <v>412</v>
      </c>
      <c r="E277" s="23">
        <f>F277+I277</f>
        <v>2955300</v>
      </c>
      <c r="F277" s="23">
        <f>3298000+84300-249000-178000</f>
        <v>2955300</v>
      </c>
      <c r="G277" s="23">
        <f>1900000-172000</f>
        <v>1728000</v>
      </c>
      <c r="H277" s="23">
        <f>678000-20000-249000</f>
        <v>409000</v>
      </c>
      <c r="I277" s="25"/>
      <c r="J277" s="103">
        <f t="shared" ref="J277:J372" si="78">L277+O277</f>
        <v>0</v>
      </c>
      <c r="K277" s="23"/>
      <c r="L277" s="23"/>
      <c r="M277" s="23"/>
      <c r="N277" s="23"/>
      <c r="O277" s="25"/>
      <c r="P277" s="26">
        <f t="shared" si="72"/>
        <v>2955300</v>
      </c>
      <c r="Q277" s="16"/>
    </row>
    <row r="278" spans="1:18" s="27" customFormat="1" ht="12.75" x14ac:dyDescent="0.2">
      <c r="A278" s="53" t="s">
        <v>211</v>
      </c>
      <c r="B278" s="97" t="s">
        <v>14</v>
      </c>
      <c r="C278" s="97" t="s">
        <v>15</v>
      </c>
      <c r="D278" s="2" t="s">
        <v>156</v>
      </c>
      <c r="E278" s="23">
        <f>F278+I278</f>
        <v>5220000</v>
      </c>
      <c r="F278" s="23">
        <f>5220000</f>
        <v>5220000</v>
      </c>
      <c r="G278" s="23">
        <v>3985000</v>
      </c>
      <c r="H278" s="23"/>
      <c r="I278" s="25"/>
      <c r="J278" s="103">
        <f>L278+O278</f>
        <v>800000</v>
      </c>
      <c r="K278" s="23"/>
      <c r="L278" s="23">
        <v>800000</v>
      </c>
      <c r="M278" s="23">
        <v>500000</v>
      </c>
      <c r="N278" s="23"/>
      <c r="O278" s="25"/>
      <c r="P278" s="26">
        <f t="shared" si="72"/>
        <v>6020000</v>
      </c>
      <c r="Q278" s="16"/>
    </row>
    <row r="279" spans="1:18" s="27" customFormat="1" ht="12.75" x14ac:dyDescent="0.2">
      <c r="A279" s="96" t="s">
        <v>509</v>
      </c>
      <c r="B279" s="97">
        <v>1010</v>
      </c>
      <c r="C279" s="97" t="s">
        <v>29</v>
      </c>
      <c r="D279" s="2" t="s">
        <v>77</v>
      </c>
      <c r="E279" s="23">
        <f t="shared" ref="E279:E281" si="79">F279+I279</f>
        <v>0</v>
      </c>
      <c r="F279" s="23"/>
      <c r="G279" s="23"/>
      <c r="H279" s="23"/>
      <c r="I279" s="25"/>
      <c r="J279" s="103">
        <f t="shared" si="78"/>
        <v>1420040</v>
      </c>
      <c r="K279" s="23">
        <f>1420040</f>
        <v>1420040</v>
      </c>
      <c r="L279" s="23"/>
      <c r="M279" s="23"/>
      <c r="N279" s="23"/>
      <c r="O279" s="25">
        <v>1420040</v>
      </c>
      <c r="P279" s="26">
        <f t="shared" si="72"/>
        <v>1420040</v>
      </c>
      <c r="Q279" s="16"/>
    </row>
    <row r="280" spans="1:18" s="27" customFormat="1" ht="36" x14ac:dyDescent="0.2">
      <c r="A280" s="96" t="s">
        <v>510</v>
      </c>
      <c r="B280" s="97">
        <v>1021</v>
      </c>
      <c r="C280" s="97" t="s">
        <v>30</v>
      </c>
      <c r="D280" s="2" t="s">
        <v>468</v>
      </c>
      <c r="E280" s="23">
        <f t="shared" si="79"/>
        <v>0</v>
      </c>
      <c r="F280" s="23"/>
      <c r="G280" s="23"/>
      <c r="H280" s="23"/>
      <c r="I280" s="25"/>
      <c r="J280" s="103">
        <f t="shared" ref="J280:J281" si="80">L280+O280</f>
        <v>835922</v>
      </c>
      <c r="K280" s="23">
        <v>835922</v>
      </c>
      <c r="L280" s="23"/>
      <c r="M280" s="23"/>
      <c r="N280" s="23"/>
      <c r="O280" s="25">
        <v>835922</v>
      </c>
      <c r="P280" s="26">
        <f t="shared" si="72"/>
        <v>835922</v>
      </c>
      <c r="Q280" s="16"/>
    </row>
    <row r="281" spans="1:18" s="27" customFormat="1" ht="24" x14ac:dyDescent="0.2">
      <c r="A281" s="96" t="s">
        <v>573</v>
      </c>
      <c r="B281" s="97" t="s">
        <v>215</v>
      </c>
      <c r="C281" s="97" t="s">
        <v>560</v>
      </c>
      <c r="D281" s="2" t="s">
        <v>216</v>
      </c>
      <c r="E281" s="23">
        <f t="shared" si="79"/>
        <v>1118486</v>
      </c>
      <c r="F281" s="23"/>
      <c r="G281" s="23"/>
      <c r="H281" s="23"/>
      <c r="I281" s="25">
        <f>2178600-60114-1000000</f>
        <v>1118486</v>
      </c>
      <c r="J281" s="103">
        <f t="shared" si="80"/>
        <v>58619</v>
      </c>
      <c r="K281" s="23">
        <f>60114-1495</f>
        <v>58619</v>
      </c>
      <c r="L281" s="23"/>
      <c r="M281" s="23"/>
      <c r="N281" s="23"/>
      <c r="O281" s="25">
        <f>60114-1495</f>
        <v>58619</v>
      </c>
      <c r="P281" s="26">
        <f t="shared" si="72"/>
        <v>1177105</v>
      </c>
      <c r="Q281" s="16"/>
    </row>
    <row r="282" spans="1:18" s="27" customFormat="1" ht="12.75" x14ac:dyDescent="0.2">
      <c r="A282" s="96" t="s">
        <v>413</v>
      </c>
      <c r="B282" s="97" t="s">
        <v>91</v>
      </c>
      <c r="C282" s="97" t="s">
        <v>24</v>
      </c>
      <c r="D282" s="2" t="s">
        <v>92</v>
      </c>
      <c r="E282" s="23">
        <f>F282+I282</f>
        <v>27204265</v>
      </c>
      <c r="F282" s="23">
        <f>27472265-268000</f>
        <v>27204265</v>
      </c>
      <c r="G282" s="23"/>
      <c r="H282" s="23"/>
      <c r="I282" s="25"/>
      <c r="J282" s="103">
        <f t="shared" si="78"/>
        <v>6163091</v>
      </c>
      <c r="K282" s="23">
        <f>8617893+1847797-3195394-38473-249960-818772</f>
        <v>6163091</v>
      </c>
      <c r="L282" s="23"/>
      <c r="M282" s="23"/>
      <c r="N282" s="23"/>
      <c r="O282" s="25">
        <f>8617893+1847797-3195394-38473-249960-818772</f>
        <v>6163091</v>
      </c>
      <c r="P282" s="26">
        <f t="shared" si="72"/>
        <v>33367356</v>
      </c>
      <c r="Q282" s="16"/>
    </row>
    <row r="283" spans="1:18" s="27" customFormat="1" ht="24" x14ac:dyDescent="0.2">
      <c r="A283" s="53" t="s">
        <v>218</v>
      </c>
      <c r="B283" s="97" t="s">
        <v>217</v>
      </c>
      <c r="C283" s="97" t="s">
        <v>194</v>
      </c>
      <c r="D283" s="2" t="s">
        <v>438</v>
      </c>
      <c r="E283" s="23">
        <f t="shared" ref="E283:E287" si="81">F283+I283</f>
        <v>0</v>
      </c>
      <c r="F283" s="23"/>
      <c r="G283" s="23"/>
      <c r="H283" s="23"/>
      <c r="I283" s="25"/>
      <c r="J283" s="103">
        <f t="shared" si="78"/>
        <v>137729758</v>
      </c>
      <c r="K283" s="23">
        <f>198844502+2000000+16000000-83340318-20717-82821+4329112</f>
        <v>137729758</v>
      </c>
      <c r="L283" s="23"/>
      <c r="M283" s="23"/>
      <c r="N283" s="23"/>
      <c r="O283" s="25">
        <f>198844502+2000000+16000000-83340318-20717-82821+4329112</f>
        <v>137729758</v>
      </c>
      <c r="P283" s="26">
        <f t="shared" si="72"/>
        <v>137729758</v>
      </c>
      <c r="Q283" s="16"/>
    </row>
    <row r="284" spans="1:18" s="27" customFormat="1" ht="12.75" x14ac:dyDescent="0.2">
      <c r="A284" s="53"/>
      <c r="B284" s="97"/>
      <c r="C284" s="97"/>
      <c r="D284" s="2" t="s">
        <v>329</v>
      </c>
      <c r="E284" s="23"/>
      <c r="F284" s="23"/>
      <c r="G284" s="23"/>
      <c r="H284" s="23"/>
      <c r="I284" s="25"/>
      <c r="J284" s="103"/>
      <c r="K284" s="23"/>
      <c r="L284" s="23"/>
      <c r="M284" s="23"/>
      <c r="N284" s="23"/>
      <c r="O284" s="25"/>
      <c r="P284" s="26">
        <f t="shared" si="72"/>
        <v>0</v>
      </c>
      <c r="Q284" s="16"/>
    </row>
    <row r="285" spans="1:18" s="27" customFormat="1" ht="48" x14ac:dyDescent="0.2">
      <c r="A285" s="53"/>
      <c r="B285" s="97"/>
      <c r="C285" s="97"/>
      <c r="D285" s="35" t="s">
        <v>514</v>
      </c>
      <c r="E285" s="23">
        <f t="shared" ref="E285" si="82">F285+I285</f>
        <v>0</v>
      </c>
      <c r="F285" s="23"/>
      <c r="G285" s="23"/>
      <c r="H285" s="23"/>
      <c r="I285" s="25"/>
      <c r="J285" s="103">
        <f t="shared" ref="J285" si="83">L285+O285</f>
        <v>1774884</v>
      </c>
      <c r="K285" s="23">
        <f>1594884+180000</f>
        <v>1774884</v>
      </c>
      <c r="L285" s="23"/>
      <c r="M285" s="23"/>
      <c r="N285" s="23"/>
      <c r="O285" s="25">
        <f>1594884+180000</f>
        <v>1774884</v>
      </c>
      <c r="P285" s="26">
        <f t="shared" si="72"/>
        <v>1774884</v>
      </c>
      <c r="Q285" s="16"/>
    </row>
    <row r="286" spans="1:18" s="27" customFormat="1" ht="12.75" x14ac:dyDescent="0.2">
      <c r="A286" s="53" t="s">
        <v>511</v>
      </c>
      <c r="B286" s="97" t="s">
        <v>512</v>
      </c>
      <c r="C286" s="97" t="s">
        <v>194</v>
      </c>
      <c r="D286" s="2" t="s">
        <v>513</v>
      </c>
      <c r="E286" s="23">
        <f t="shared" ref="E286" si="84">F286+I286</f>
        <v>0</v>
      </c>
      <c r="F286" s="23"/>
      <c r="G286" s="23"/>
      <c r="H286" s="23"/>
      <c r="I286" s="25"/>
      <c r="J286" s="103">
        <f>L286+O286</f>
        <v>3653786</v>
      </c>
      <c r="K286" s="23">
        <f>5501583-1847797</f>
        <v>3653786</v>
      </c>
      <c r="L286" s="23"/>
      <c r="M286" s="23"/>
      <c r="N286" s="23"/>
      <c r="O286" s="25">
        <f>5501583-1847797</f>
        <v>3653786</v>
      </c>
      <c r="P286" s="26">
        <f t="shared" si="72"/>
        <v>3653786</v>
      </c>
      <c r="Q286" s="16"/>
    </row>
    <row r="287" spans="1:18" s="27" customFormat="1" ht="12.75" x14ac:dyDescent="0.2">
      <c r="A287" s="53" t="s">
        <v>219</v>
      </c>
      <c r="B287" s="97" t="s">
        <v>220</v>
      </c>
      <c r="C287" s="97" t="s">
        <v>194</v>
      </c>
      <c r="D287" s="2" t="s">
        <v>439</v>
      </c>
      <c r="E287" s="23">
        <f t="shared" si="81"/>
        <v>0</v>
      </c>
      <c r="F287" s="23"/>
      <c r="G287" s="23"/>
      <c r="H287" s="23"/>
      <c r="I287" s="25"/>
      <c r="J287" s="103">
        <f>L287+O287</f>
        <v>6670982</v>
      </c>
      <c r="K287" s="23">
        <f>27720511-215503-2000000-16000000-3429074+60685+534363</f>
        <v>6670982</v>
      </c>
      <c r="L287" s="23"/>
      <c r="M287" s="23"/>
      <c r="N287" s="23"/>
      <c r="O287" s="25">
        <f>27720511-215503-2000000-16000000-3429074+60685+534363</f>
        <v>6670982</v>
      </c>
      <c r="P287" s="26">
        <f t="shared" si="72"/>
        <v>6670982</v>
      </c>
      <c r="Q287" s="16"/>
    </row>
    <row r="288" spans="1:18" s="27" customFormat="1" ht="24" x14ac:dyDescent="0.2">
      <c r="A288" s="53" t="s">
        <v>289</v>
      </c>
      <c r="B288" s="97" t="s">
        <v>260</v>
      </c>
      <c r="C288" s="97" t="s">
        <v>25</v>
      </c>
      <c r="D288" s="2" t="s">
        <v>94</v>
      </c>
      <c r="E288" s="23"/>
      <c r="F288" s="23"/>
      <c r="G288" s="23"/>
      <c r="H288" s="23"/>
      <c r="I288" s="25"/>
      <c r="J288" s="103">
        <f t="shared" si="78"/>
        <v>93000</v>
      </c>
      <c r="K288" s="23">
        <f>2581948-1959922-388000-91026-50000</f>
        <v>93000</v>
      </c>
      <c r="L288" s="23"/>
      <c r="M288" s="23"/>
      <c r="N288" s="23"/>
      <c r="O288" s="25">
        <f>2581948-1959922-388000-91026-50000</f>
        <v>93000</v>
      </c>
      <c r="P288" s="26">
        <f t="shared" si="72"/>
        <v>93000</v>
      </c>
      <c r="Q288" s="16"/>
    </row>
    <row r="289" spans="1:18" s="27" customFormat="1" ht="12.75" x14ac:dyDescent="0.2">
      <c r="A289" s="53"/>
      <c r="B289" s="97"/>
      <c r="C289" s="97"/>
      <c r="D289" s="2" t="s">
        <v>329</v>
      </c>
      <c r="E289" s="23"/>
      <c r="F289" s="23"/>
      <c r="G289" s="23"/>
      <c r="H289" s="23"/>
      <c r="I289" s="25"/>
      <c r="J289" s="103">
        <f t="shared" si="78"/>
        <v>0</v>
      </c>
      <c r="K289" s="23"/>
      <c r="L289" s="23"/>
      <c r="M289" s="23"/>
      <c r="N289" s="23"/>
      <c r="O289" s="25"/>
      <c r="P289" s="26">
        <f t="shared" si="72"/>
        <v>0</v>
      </c>
      <c r="Q289" s="16"/>
    </row>
    <row r="290" spans="1:18" s="27" customFormat="1" ht="127.5" customHeight="1" x14ac:dyDescent="0.2">
      <c r="A290" s="53"/>
      <c r="B290" s="97"/>
      <c r="C290" s="97"/>
      <c r="D290" s="35" t="s">
        <v>605</v>
      </c>
      <c r="E290" s="23"/>
      <c r="F290" s="23"/>
      <c r="G290" s="23"/>
      <c r="H290" s="23"/>
      <c r="I290" s="25"/>
      <c r="J290" s="103">
        <f t="shared" si="78"/>
        <v>93000</v>
      </c>
      <c r="K290" s="23">
        <f>93000</f>
        <v>93000</v>
      </c>
      <c r="L290" s="23"/>
      <c r="M290" s="23"/>
      <c r="N290" s="23"/>
      <c r="O290" s="25">
        <v>93000</v>
      </c>
      <c r="P290" s="26">
        <f t="shared" si="72"/>
        <v>93000</v>
      </c>
      <c r="Q290" s="16"/>
    </row>
    <row r="291" spans="1:18" s="17" customFormat="1" ht="25.5" x14ac:dyDescent="0.2">
      <c r="A291" s="33" t="s">
        <v>195</v>
      </c>
      <c r="B291" s="19"/>
      <c r="C291" s="19"/>
      <c r="D291" s="20" t="s">
        <v>330</v>
      </c>
      <c r="E291" s="21">
        <f>E293+E300+E294</f>
        <v>32946575</v>
      </c>
      <c r="F291" s="21">
        <f>F293+F300+F294+F302</f>
        <v>26058900</v>
      </c>
      <c r="G291" s="21">
        <f>G293+G300+G294+G302</f>
        <v>7850000</v>
      </c>
      <c r="H291" s="21">
        <f>H293+H300+H294+H302</f>
        <v>280900</v>
      </c>
      <c r="I291" s="22">
        <f>I293+I300+I294+I302</f>
        <v>6887675</v>
      </c>
      <c r="J291" s="104">
        <f>J293+J300+J294+J302+J299</f>
        <v>90300</v>
      </c>
      <c r="K291" s="21">
        <f t="shared" ref="K291:O291" si="85">K293+K300+K294+K302+K299</f>
        <v>60600</v>
      </c>
      <c r="L291" s="21">
        <f t="shared" si="85"/>
        <v>29700</v>
      </c>
      <c r="M291" s="21">
        <f t="shared" si="85"/>
        <v>0</v>
      </c>
      <c r="N291" s="21">
        <f t="shared" si="85"/>
        <v>0</v>
      </c>
      <c r="O291" s="22">
        <f t="shared" si="85"/>
        <v>60600</v>
      </c>
      <c r="P291" s="26">
        <f t="shared" si="72"/>
        <v>33036875</v>
      </c>
      <c r="Q291" s="43"/>
      <c r="R291" s="54"/>
    </row>
    <row r="292" spans="1:18" s="17" customFormat="1" ht="25.5" x14ac:dyDescent="0.2">
      <c r="A292" s="33" t="s">
        <v>196</v>
      </c>
      <c r="B292" s="19"/>
      <c r="C292" s="19"/>
      <c r="D292" s="20" t="s">
        <v>330</v>
      </c>
      <c r="E292" s="21"/>
      <c r="F292" s="21"/>
      <c r="G292" s="21"/>
      <c r="H292" s="21"/>
      <c r="I292" s="22"/>
      <c r="J292" s="103"/>
      <c r="K292" s="23"/>
      <c r="L292" s="21"/>
      <c r="M292" s="21"/>
      <c r="N292" s="21"/>
      <c r="O292" s="22"/>
      <c r="P292" s="26">
        <f t="shared" si="72"/>
        <v>0</v>
      </c>
      <c r="Q292" s="16"/>
    </row>
    <row r="293" spans="1:18" s="27" customFormat="1" ht="36" x14ac:dyDescent="0.2">
      <c r="A293" s="96" t="s">
        <v>197</v>
      </c>
      <c r="B293" s="97" t="s">
        <v>59</v>
      </c>
      <c r="C293" s="97" t="s">
        <v>22</v>
      </c>
      <c r="D293" s="2" t="s">
        <v>412</v>
      </c>
      <c r="E293" s="23">
        <f>F293+I293</f>
        <v>10908500</v>
      </c>
      <c r="F293" s="23">
        <f>9843500+27700+1085200+10000+2100-60000</f>
        <v>10908500</v>
      </c>
      <c r="G293" s="23">
        <f>7300000-260000+855000-45000</f>
        <v>7850000</v>
      </c>
      <c r="H293" s="23">
        <f>257500+19000+4400</f>
        <v>280900</v>
      </c>
      <c r="I293" s="25"/>
      <c r="J293" s="103">
        <f t="shared" si="78"/>
        <v>0</v>
      </c>
      <c r="K293" s="23"/>
      <c r="L293" s="23"/>
      <c r="M293" s="23"/>
      <c r="N293" s="23"/>
      <c r="O293" s="25"/>
      <c r="P293" s="26">
        <f t="shared" si="72"/>
        <v>10908500</v>
      </c>
      <c r="Q293" s="16"/>
      <c r="R293" s="45"/>
    </row>
    <row r="294" spans="1:18" s="27" customFormat="1" ht="12.75" x14ac:dyDescent="0.2">
      <c r="A294" s="96" t="s">
        <v>281</v>
      </c>
      <c r="B294" s="97" t="s">
        <v>14</v>
      </c>
      <c r="C294" s="97" t="s">
        <v>15</v>
      </c>
      <c r="D294" s="2" t="s">
        <v>156</v>
      </c>
      <c r="E294" s="23">
        <f>F294+I294</f>
        <v>15150400</v>
      </c>
      <c r="F294" s="23">
        <f>F296+F297+F298</f>
        <v>15150400</v>
      </c>
      <c r="G294" s="23">
        <f t="shared" ref="G294:I294" si="86">G296+G297</f>
        <v>0</v>
      </c>
      <c r="H294" s="23">
        <f t="shared" si="86"/>
        <v>0</v>
      </c>
      <c r="I294" s="25">
        <f t="shared" si="86"/>
        <v>0</v>
      </c>
      <c r="J294" s="103">
        <f>L294+O294</f>
        <v>35600</v>
      </c>
      <c r="K294" s="23">
        <v>35600</v>
      </c>
      <c r="L294" s="23"/>
      <c r="M294" s="23"/>
      <c r="N294" s="23"/>
      <c r="O294" s="25">
        <v>35600</v>
      </c>
      <c r="P294" s="26">
        <f t="shared" si="72"/>
        <v>15186000</v>
      </c>
      <c r="Q294" s="16"/>
      <c r="R294" s="45"/>
    </row>
    <row r="295" spans="1:18" s="27" customFormat="1" ht="12.75" x14ac:dyDescent="0.2">
      <c r="A295" s="96"/>
      <c r="B295" s="97"/>
      <c r="C295" s="97"/>
      <c r="D295" s="2" t="s">
        <v>329</v>
      </c>
      <c r="E295" s="23"/>
      <c r="F295" s="23"/>
      <c r="G295" s="23"/>
      <c r="H295" s="23"/>
      <c r="I295" s="25"/>
      <c r="J295" s="103">
        <f t="shared" ref="J295:J299" si="87">L295+O295</f>
        <v>0</v>
      </c>
      <c r="K295" s="23"/>
      <c r="L295" s="23"/>
      <c r="M295" s="23"/>
      <c r="N295" s="23"/>
      <c r="O295" s="25"/>
      <c r="P295" s="26">
        <f t="shared" si="72"/>
        <v>0</v>
      </c>
      <c r="Q295" s="16"/>
    </row>
    <row r="296" spans="1:18" s="27" customFormat="1" ht="24" x14ac:dyDescent="0.2">
      <c r="A296" s="96"/>
      <c r="B296" s="97"/>
      <c r="C296" s="97"/>
      <c r="D296" s="2" t="s">
        <v>303</v>
      </c>
      <c r="E296" s="23">
        <f>F296+I296</f>
        <v>8759000</v>
      </c>
      <c r="F296" s="23">
        <f>7200000+550000+556000+153000+1700000-1400000</f>
        <v>8759000</v>
      </c>
      <c r="G296" s="23"/>
      <c r="H296" s="23"/>
      <c r="I296" s="25"/>
      <c r="J296" s="103">
        <f t="shared" si="87"/>
        <v>0</v>
      </c>
      <c r="K296" s="23"/>
      <c r="L296" s="23"/>
      <c r="M296" s="23"/>
      <c r="N296" s="23"/>
      <c r="O296" s="25"/>
      <c r="P296" s="26">
        <f t="shared" si="72"/>
        <v>8759000</v>
      </c>
      <c r="Q296" s="16"/>
      <c r="R296" s="45"/>
    </row>
    <row r="297" spans="1:18" s="27" customFormat="1" ht="24" x14ac:dyDescent="0.2">
      <c r="A297" s="96"/>
      <c r="B297" s="97"/>
      <c r="C297" s="97"/>
      <c r="D297" s="55" t="s">
        <v>430</v>
      </c>
      <c r="E297" s="23">
        <f>F297+I297</f>
        <v>5930000</v>
      </c>
      <c r="F297" s="23">
        <f>6600000+130000-800000</f>
        <v>5930000</v>
      </c>
      <c r="G297" s="23"/>
      <c r="H297" s="23"/>
      <c r="I297" s="25"/>
      <c r="J297" s="103">
        <f t="shared" si="87"/>
        <v>0</v>
      </c>
      <c r="K297" s="23"/>
      <c r="L297" s="23"/>
      <c r="M297" s="23"/>
      <c r="N297" s="23"/>
      <c r="O297" s="25"/>
      <c r="P297" s="26">
        <f t="shared" si="72"/>
        <v>5930000</v>
      </c>
      <c r="Q297" s="16"/>
    </row>
    <row r="298" spans="1:18" s="27" customFormat="1" ht="36" x14ac:dyDescent="0.2">
      <c r="A298" s="96"/>
      <c r="B298" s="97"/>
      <c r="C298" s="97"/>
      <c r="D298" s="55" t="s">
        <v>542</v>
      </c>
      <c r="E298" s="23">
        <f>F298+I298</f>
        <v>461400</v>
      </c>
      <c r="F298" s="23">
        <v>461400</v>
      </c>
      <c r="G298" s="23"/>
      <c r="H298" s="23"/>
      <c r="I298" s="25"/>
      <c r="J298" s="103">
        <f t="shared" si="87"/>
        <v>35600</v>
      </c>
      <c r="K298" s="23">
        <v>35600</v>
      </c>
      <c r="L298" s="23"/>
      <c r="M298" s="23"/>
      <c r="N298" s="23"/>
      <c r="O298" s="25">
        <v>35600</v>
      </c>
      <c r="P298" s="26">
        <f t="shared" si="72"/>
        <v>497000</v>
      </c>
      <c r="Q298" s="16"/>
    </row>
    <row r="299" spans="1:18" s="27" customFormat="1" ht="12.75" x14ac:dyDescent="0.2">
      <c r="A299" s="96" t="s">
        <v>600</v>
      </c>
      <c r="B299" s="97" t="s">
        <v>220</v>
      </c>
      <c r="C299" s="97" t="s">
        <v>194</v>
      </c>
      <c r="D299" s="55" t="s">
        <v>439</v>
      </c>
      <c r="E299" s="23"/>
      <c r="F299" s="23"/>
      <c r="G299" s="23"/>
      <c r="H299" s="23"/>
      <c r="I299" s="25"/>
      <c r="J299" s="103">
        <f t="shared" si="87"/>
        <v>25000</v>
      </c>
      <c r="K299" s="23">
        <f>490000-465000</f>
        <v>25000</v>
      </c>
      <c r="L299" s="23"/>
      <c r="M299" s="23"/>
      <c r="N299" s="23"/>
      <c r="O299" s="25">
        <f>490000-465000</f>
        <v>25000</v>
      </c>
      <c r="P299" s="26">
        <f t="shared" si="72"/>
        <v>25000</v>
      </c>
      <c r="Q299" s="16"/>
    </row>
    <row r="300" spans="1:18" s="27" customFormat="1" ht="32.25" customHeight="1" x14ac:dyDescent="0.2">
      <c r="A300" s="126" t="s">
        <v>198</v>
      </c>
      <c r="B300" s="127" t="s">
        <v>193</v>
      </c>
      <c r="C300" s="127" t="s">
        <v>194</v>
      </c>
      <c r="D300" s="2" t="s">
        <v>410</v>
      </c>
      <c r="E300" s="23">
        <f>F300+I300</f>
        <v>6887675</v>
      </c>
      <c r="F300" s="23">
        <f>F301</f>
        <v>0</v>
      </c>
      <c r="G300" s="23">
        <f t="shared" ref="G300:I300" si="88">G301</f>
        <v>0</v>
      </c>
      <c r="H300" s="23">
        <f t="shared" si="88"/>
        <v>0</v>
      </c>
      <c r="I300" s="25">
        <f t="shared" si="88"/>
        <v>6887675</v>
      </c>
      <c r="J300" s="103">
        <f>L300+O300</f>
        <v>0</v>
      </c>
      <c r="K300" s="23"/>
      <c r="L300" s="23"/>
      <c r="M300" s="23"/>
      <c r="N300" s="23"/>
      <c r="O300" s="25"/>
      <c r="P300" s="26">
        <f t="shared" si="72"/>
        <v>6887675</v>
      </c>
      <c r="Q300" s="16"/>
    </row>
    <row r="301" spans="1:18" s="27" customFormat="1" ht="24.75" customHeight="1" x14ac:dyDescent="0.2">
      <c r="A301" s="126"/>
      <c r="B301" s="127"/>
      <c r="C301" s="127"/>
      <c r="D301" s="35" t="s">
        <v>411</v>
      </c>
      <c r="E301" s="23">
        <f>F301+I301</f>
        <v>6887675</v>
      </c>
      <c r="F301" s="23"/>
      <c r="G301" s="23"/>
      <c r="H301" s="23"/>
      <c r="I301" s="25">
        <f>6000000-27700-2186951-224274-151300-450000-130000-10000-100000-2100+4110000+60000</f>
        <v>6887675</v>
      </c>
      <c r="J301" s="103"/>
      <c r="K301" s="23"/>
      <c r="L301" s="23"/>
      <c r="M301" s="23"/>
      <c r="N301" s="23"/>
      <c r="O301" s="25"/>
      <c r="P301" s="26">
        <f t="shared" si="72"/>
        <v>6887675</v>
      </c>
      <c r="Q301" s="16"/>
    </row>
    <row r="302" spans="1:18" s="27" customFormat="1" ht="96" customHeight="1" x14ac:dyDescent="0.2">
      <c r="A302" s="96" t="s">
        <v>434</v>
      </c>
      <c r="B302" s="97" t="s">
        <v>249</v>
      </c>
      <c r="C302" s="97" t="s">
        <v>25</v>
      </c>
      <c r="D302" s="2" t="s">
        <v>250</v>
      </c>
      <c r="E302" s="23"/>
      <c r="F302" s="23"/>
      <c r="G302" s="23"/>
      <c r="H302" s="23"/>
      <c r="I302" s="25"/>
      <c r="J302" s="103">
        <f t="shared" ref="J302" si="89">L302+O302</f>
        <v>29700</v>
      </c>
      <c r="K302" s="23"/>
      <c r="L302" s="23">
        <f>1500000-130200-690100-600000-50000</f>
        <v>29700</v>
      </c>
      <c r="M302" s="23"/>
      <c r="N302" s="23"/>
      <c r="O302" s="25"/>
      <c r="P302" s="26">
        <f t="shared" si="72"/>
        <v>29700</v>
      </c>
      <c r="Q302" s="16"/>
    </row>
    <row r="303" spans="1:18" s="27" customFormat="1" ht="38.25" x14ac:dyDescent="0.2">
      <c r="A303" s="33" t="s">
        <v>418</v>
      </c>
      <c r="B303" s="97"/>
      <c r="C303" s="97"/>
      <c r="D303" s="20" t="s">
        <v>471</v>
      </c>
      <c r="E303" s="21">
        <f>E305</f>
        <v>3740800</v>
      </c>
      <c r="F303" s="21">
        <f t="shared" ref="F303:I303" si="90">F305</f>
        <v>3740800</v>
      </c>
      <c r="G303" s="21">
        <f t="shared" si="90"/>
        <v>2662600</v>
      </c>
      <c r="H303" s="21">
        <f t="shared" si="90"/>
        <v>45900</v>
      </c>
      <c r="I303" s="22">
        <f t="shared" si="90"/>
        <v>0</v>
      </c>
      <c r="J303" s="103"/>
      <c r="K303" s="23"/>
      <c r="L303" s="23"/>
      <c r="M303" s="23"/>
      <c r="N303" s="23"/>
      <c r="O303" s="25"/>
      <c r="P303" s="26">
        <f t="shared" si="72"/>
        <v>3740800</v>
      </c>
      <c r="Q303" s="16"/>
      <c r="R303" s="39"/>
    </row>
    <row r="304" spans="1:18" s="27" customFormat="1" ht="38.25" x14ac:dyDescent="0.2">
      <c r="A304" s="33" t="s">
        <v>419</v>
      </c>
      <c r="B304" s="97"/>
      <c r="C304" s="97"/>
      <c r="D304" s="20" t="s">
        <v>472</v>
      </c>
      <c r="E304" s="23"/>
      <c r="F304" s="23"/>
      <c r="G304" s="23"/>
      <c r="H304" s="23"/>
      <c r="I304" s="25"/>
      <c r="J304" s="103"/>
      <c r="K304" s="23"/>
      <c r="L304" s="23"/>
      <c r="M304" s="23"/>
      <c r="N304" s="23"/>
      <c r="O304" s="25"/>
      <c r="P304" s="26">
        <f t="shared" si="72"/>
        <v>0</v>
      </c>
      <c r="Q304" s="16"/>
    </row>
    <row r="305" spans="1:18" s="27" customFormat="1" ht="36" x14ac:dyDescent="0.2">
      <c r="A305" s="96" t="s">
        <v>420</v>
      </c>
      <c r="B305" s="97" t="s">
        <v>59</v>
      </c>
      <c r="C305" s="97" t="s">
        <v>22</v>
      </c>
      <c r="D305" s="2" t="s">
        <v>412</v>
      </c>
      <c r="E305" s="23">
        <f>F305+I305</f>
        <v>3740800</v>
      </c>
      <c r="F305" s="23">
        <f>2811200+250000+709600-30000</f>
        <v>3740800</v>
      </c>
      <c r="G305" s="23">
        <f>2000000-100000+220000+567600-25000</f>
        <v>2662600</v>
      </c>
      <c r="H305" s="23">
        <f>99900-30000-10000-14000</f>
        <v>45900</v>
      </c>
      <c r="I305" s="25"/>
      <c r="J305" s="103"/>
      <c r="K305" s="23"/>
      <c r="L305" s="23"/>
      <c r="M305" s="23"/>
      <c r="N305" s="23"/>
      <c r="O305" s="25"/>
      <c r="P305" s="26">
        <f t="shared" si="72"/>
        <v>3740800</v>
      </c>
      <c r="Q305" s="16"/>
    </row>
    <row r="306" spans="1:18" s="58" customFormat="1" ht="25.5" x14ac:dyDescent="0.2">
      <c r="A306" s="33" t="s">
        <v>147</v>
      </c>
      <c r="B306" s="56"/>
      <c r="C306" s="56"/>
      <c r="D306" s="20" t="s">
        <v>292</v>
      </c>
      <c r="E306" s="21">
        <f>F306+I306</f>
        <v>200452200</v>
      </c>
      <c r="F306" s="21">
        <f>F308+F310+F309+F311</f>
        <v>200452200</v>
      </c>
      <c r="G306" s="21">
        <f>G308+G310+G309+G311</f>
        <v>6937500</v>
      </c>
      <c r="H306" s="21">
        <f>H308+H310+H309+H311</f>
        <v>81500</v>
      </c>
      <c r="I306" s="22">
        <f>I308+I310+I309+I311</f>
        <v>0</v>
      </c>
      <c r="J306" s="104">
        <f t="shared" ref="J306:O306" si="91">SUM(J308:J311)</f>
        <v>492987</v>
      </c>
      <c r="K306" s="21">
        <f t="shared" si="91"/>
        <v>492987</v>
      </c>
      <c r="L306" s="21">
        <f t="shared" si="91"/>
        <v>0</v>
      </c>
      <c r="M306" s="21">
        <f t="shared" si="91"/>
        <v>0</v>
      </c>
      <c r="N306" s="21">
        <f t="shared" si="91"/>
        <v>0</v>
      </c>
      <c r="O306" s="22">
        <f t="shared" si="91"/>
        <v>492987</v>
      </c>
      <c r="P306" s="26">
        <f t="shared" si="72"/>
        <v>200945187</v>
      </c>
      <c r="Q306" s="16"/>
      <c r="R306" s="57"/>
    </row>
    <row r="307" spans="1:18" s="27" customFormat="1" ht="25.5" x14ac:dyDescent="0.2">
      <c r="A307" s="33" t="s">
        <v>148</v>
      </c>
      <c r="B307" s="97"/>
      <c r="C307" s="97"/>
      <c r="D307" s="20" t="s">
        <v>292</v>
      </c>
      <c r="E307" s="23">
        <f t="shared" ref="E307" si="92">F307+I307</f>
        <v>0</v>
      </c>
      <c r="F307" s="23"/>
      <c r="G307" s="23"/>
      <c r="H307" s="23"/>
      <c r="I307" s="25"/>
      <c r="J307" s="103"/>
      <c r="K307" s="23"/>
      <c r="L307" s="23"/>
      <c r="M307" s="23"/>
      <c r="N307" s="23"/>
      <c r="O307" s="25"/>
      <c r="P307" s="26">
        <f t="shared" si="72"/>
        <v>0</v>
      </c>
      <c r="Q307" s="16"/>
    </row>
    <row r="308" spans="1:18" s="27" customFormat="1" ht="36" x14ac:dyDescent="0.2">
      <c r="A308" s="96" t="s">
        <v>149</v>
      </c>
      <c r="B308" s="97" t="s">
        <v>59</v>
      </c>
      <c r="C308" s="97" t="s">
        <v>22</v>
      </c>
      <c r="D308" s="2" t="s">
        <v>412</v>
      </c>
      <c r="E308" s="23">
        <f>F308+I308</f>
        <v>11689300</v>
      </c>
      <c r="F308" s="23">
        <f>7382600+400000+140000+1124000+800000+60000+96000+1715400+30000+16800-75500</f>
        <v>11689300</v>
      </c>
      <c r="G308" s="23">
        <f>4200000+907700-250000+700000+50000+1389800-60000</f>
        <v>6937500</v>
      </c>
      <c r="H308" s="23">
        <v>81500</v>
      </c>
      <c r="I308" s="25"/>
      <c r="J308" s="103">
        <f t="shared" si="78"/>
        <v>0</v>
      </c>
      <c r="K308" s="23"/>
      <c r="L308" s="23"/>
      <c r="M308" s="23"/>
      <c r="N308" s="23"/>
      <c r="O308" s="25"/>
      <c r="P308" s="26">
        <f t="shared" si="72"/>
        <v>11689300</v>
      </c>
      <c r="Q308" s="16"/>
    </row>
    <row r="309" spans="1:18" s="27" customFormat="1" ht="12.75" x14ac:dyDescent="0.2">
      <c r="A309" s="96" t="s">
        <v>207</v>
      </c>
      <c r="B309" s="97" t="s">
        <v>14</v>
      </c>
      <c r="C309" s="97" t="s">
        <v>15</v>
      </c>
      <c r="D309" s="2" t="s">
        <v>156</v>
      </c>
      <c r="E309" s="23">
        <f>F309+I309</f>
        <v>2747100</v>
      </c>
      <c r="F309" s="23">
        <f>2647800+99300</f>
        <v>2747100</v>
      </c>
      <c r="G309" s="23"/>
      <c r="H309" s="23"/>
      <c r="I309" s="25"/>
      <c r="J309" s="103">
        <f>L309+O309</f>
        <v>0</v>
      </c>
      <c r="K309" s="23"/>
      <c r="L309" s="23"/>
      <c r="M309" s="23"/>
      <c r="N309" s="23"/>
      <c r="O309" s="25"/>
      <c r="P309" s="26">
        <f t="shared" si="72"/>
        <v>2747100</v>
      </c>
      <c r="Q309" s="16"/>
      <c r="R309" s="45"/>
    </row>
    <row r="310" spans="1:18" s="27" customFormat="1" ht="12.75" x14ac:dyDescent="0.2">
      <c r="A310" s="96" t="s">
        <v>150</v>
      </c>
      <c r="B310" s="97" t="s">
        <v>91</v>
      </c>
      <c r="C310" s="97" t="s">
        <v>24</v>
      </c>
      <c r="D310" s="2" t="s">
        <v>92</v>
      </c>
      <c r="E310" s="23">
        <f t="shared" ref="E310:E311" si="93">F310+I310</f>
        <v>2515800</v>
      </c>
      <c r="F310" s="23">
        <f>2714200+99600-298000</f>
        <v>2515800</v>
      </c>
      <c r="G310" s="23"/>
      <c r="H310" s="23"/>
      <c r="I310" s="25"/>
      <c r="J310" s="103">
        <f t="shared" si="78"/>
        <v>492987</v>
      </c>
      <c r="K310" s="23">
        <f>492987+500000-500000</f>
        <v>492987</v>
      </c>
      <c r="L310" s="23"/>
      <c r="M310" s="23"/>
      <c r="N310" s="23"/>
      <c r="O310" s="25">
        <f>492987+500000-500000</f>
        <v>492987</v>
      </c>
      <c r="P310" s="26">
        <f t="shared" si="72"/>
        <v>3008787</v>
      </c>
      <c r="Q310" s="16"/>
    </row>
    <row r="311" spans="1:18" s="27" customFormat="1" ht="24" x14ac:dyDescent="0.2">
      <c r="A311" s="96" t="s">
        <v>212</v>
      </c>
      <c r="B311" s="97" t="s">
        <v>213</v>
      </c>
      <c r="C311" s="97" t="s">
        <v>210</v>
      </c>
      <c r="D311" s="2" t="s">
        <v>214</v>
      </c>
      <c r="E311" s="23">
        <f t="shared" si="93"/>
        <v>183500000</v>
      </c>
      <c r="F311" s="23">
        <f>167800000+19700000-4000000</f>
        <v>183500000</v>
      </c>
      <c r="G311" s="23"/>
      <c r="H311" s="23"/>
      <c r="I311" s="25"/>
      <c r="J311" s="103">
        <f t="shared" si="78"/>
        <v>0</v>
      </c>
      <c r="K311" s="23"/>
      <c r="L311" s="23"/>
      <c r="M311" s="23"/>
      <c r="N311" s="23"/>
      <c r="O311" s="25"/>
      <c r="P311" s="26">
        <f t="shared" si="72"/>
        <v>183500000</v>
      </c>
      <c r="Q311" s="16"/>
    </row>
    <row r="312" spans="1:18" s="17" customFormat="1" ht="72.75" customHeight="1" x14ac:dyDescent="0.2">
      <c r="A312" s="33" t="s">
        <v>321</v>
      </c>
      <c r="B312" s="19"/>
      <c r="C312" s="19"/>
      <c r="D312" s="20" t="s">
        <v>324</v>
      </c>
      <c r="E312" s="21">
        <f>E314+E315+E319+E318</f>
        <v>29094554</v>
      </c>
      <c r="F312" s="21">
        <f>F314+F315+F319+F318</f>
        <v>29094554</v>
      </c>
      <c r="G312" s="21">
        <f t="shared" ref="G312:I312" si="94">G314+G315+G319+G318</f>
        <v>4189900</v>
      </c>
      <c r="H312" s="21">
        <f t="shared" si="94"/>
        <v>0</v>
      </c>
      <c r="I312" s="22">
        <f t="shared" si="94"/>
        <v>0</v>
      </c>
      <c r="J312" s="104">
        <f>J314+J315+J319+J318</f>
        <v>0</v>
      </c>
      <c r="K312" s="21">
        <f t="shared" ref="K312:O312" si="95">K314+K315+K319+K318</f>
        <v>0</v>
      </c>
      <c r="L312" s="21">
        <f t="shared" si="95"/>
        <v>0</v>
      </c>
      <c r="M312" s="21">
        <f t="shared" si="95"/>
        <v>0</v>
      </c>
      <c r="N312" s="21">
        <f t="shared" si="95"/>
        <v>0</v>
      </c>
      <c r="O312" s="22">
        <f t="shared" si="95"/>
        <v>0</v>
      </c>
      <c r="P312" s="26">
        <f t="shared" si="72"/>
        <v>29094554</v>
      </c>
      <c r="Q312" s="16"/>
      <c r="R312" s="16"/>
    </row>
    <row r="313" spans="1:18" s="17" customFormat="1" ht="76.5" customHeight="1" x14ac:dyDescent="0.2">
      <c r="A313" s="33" t="s">
        <v>322</v>
      </c>
      <c r="B313" s="19"/>
      <c r="C313" s="19"/>
      <c r="D313" s="20" t="s">
        <v>324</v>
      </c>
      <c r="E313" s="21"/>
      <c r="F313" s="21"/>
      <c r="G313" s="21"/>
      <c r="H313" s="21"/>
      <c r="I313" s="22"/>
      <c r="J313" s="103">
        <f t="shared" ref="J313" si="96">L313+O313</f>
        <v>0</v>
      </c>
      <c r="K313" s="23"/>
      <c r="L313" s="21"/>
      <c r="M313" s="21"/>
      <c r="N313" s="21"/>
      <c r="O313" s="22"/>
      <c r="P313" s="26">
        <f t="shared" ref="P313:P376" si="97">E313+J313</f>
        <v>0</v>
      </c>
      <c r="Q313" s="16"/>
    </row>
    <row r="314" spans="1:18" s="27" customFormat="1" ht="36" x14ac:dyDescent="0.2">
      <c r="A314" s="96" t="s">
        <v>323</v>
      </c>
      <c r="B314" s="97" t="s">
        <v>59</v>
      </c>
      <c r="C314" s="97" t="s">
        <v>22</v>
      </c>
      <c r="D314" s="2" t="s">
        <v>412</v>
      </c>
      <c r="E314" s="23">
        <f>F314+I314</f>
        <v>6049700</v>
      </c>
      <c r="F314" s="23">
        <f>4581000+210000+300000+805700+153000</f>
        <v>6049700</v>
      </c>
      <c r="G314" s="23">
        <f>3300000-100000+220000+639900+130000</f>
        <v>4189900</v>
      </c>
      <c r="H314" s="23"/>
      <c r="I314" s="25"/>
      <c r="J314" s="103">
        <f>L314+O314</f>
        <v>0</v>
      </c>
      <c r="K314" s="23"/>
      <c r="L314" s="23"/>
      <c r="M314" s="23"/>
      <c r="N314" s="23"/>
      <c r="O314" s="25"/>
      <c r="P314" s="26">
        <f t="shared" si="97"/>
        <v>6049700</v>
      </c>
      <c r="Q314" s="16"/>
    </row>
    <row r="315" spans="1:18" s="27" customFormat="1" ht="12.75" x14ac:dyDescent="0.2">
      <c r="A315" s="96" t="s">
        <v>325</v>
      </c>
      <c r="B315" s="97" t="s">
        <v>14</v>
      </c>
      <c r="C315" s="97" t="s">
        <v>15</v>
      </c>
      <c r="D315" s="2" t="s">
        <v>156</v>
      </c>
      <c r="E315" s="23">
        <f>F315+I315</f>
        <v>7150</v>
      </c>
      <c r="F315" s="23">
        <f>4249550-62400-400000-280000-2500000-1000000</f>
        <v>7150</v>
      </c>
      <c r="G315" s="23"/>
      <c r="H315" s="23">
        <f t="shared" ref="H315:O315" si="98">H317</f>
        <v>0</v>
      </c>
      <c r="I315" s="25">
        <f t="shared" si="98"/>
        <v>0</v>
      </c>
      <c r="J315" s="103">
        <f>J317</f>
        <v>0</v>
      </c>
      <c r="K315" s="23">
        <f t="shared" si="98"/>
        <v>0</v>
      </c>
      <c r="L315" s="23">
        <f t="shared" si="98"/>
        <v>0</v>
      </c>
      <c r="M315" s="23">
        <f t="shared" si="98"/>
        <v>0</v>
      </c>
      <c r="N315" s="23">
        <f t="shared" si="98"/>
        <v>0</v>
      </c>
      <c r="O315" s="25">
        <f t="shared" si="98"/>
        <v>0</v>
      </c>
      <c r="P315" s="26">
        <f t="shared" si="97"/>
        <v>7150</v>
      </c>
      <c r="Q315" s="16"/>
    </row>
    <row r="316" spans="1:18" s="27" customFormat="1" ht="12.75" x14ac:dyDescent="0.2">
      <c r="A316" s="96"/>
      <c r="B316" s="97"/>
      <c r="C316" s="97"/>
      <c r="D316" s="2" t="s">
        <v>329</v>
      </c>
      <c r="E316" s="23">
        <f t="shared" ref="E316" si="99">F316+I316</f>
        <v>0</v>
      </c>
      <c r="F316" s="23"/>
      <c r="G316" s="23"/>
      <c r="H316" s="23"/>
      <c r="I316" s="25"/>
      <c r="J316" s="103"/>
      <c r="K316" s="23"/>
      <c r="L316" s="23"/>
      <c r="M316" s="23"/>
      <c r="N316" s="23"/>
      <c r="O316" s="25"/>
      <c r="P316" s="26">
        <f t="shared" si="97"/>
        <v>0</v>
      </c>
      <c r="Q316" s="16"/>
    </row>
    <row r="317" spans="1:18" s="27" customFormat="1" ht="36" x14ac:dyDescent="0.2">
      <c r="A317" s="96"/>
      <c r="B317" s="97"/>
      <c r="C317" s="97"/>
      <c r="D317" s="28" t="s">
        <v>464</v>
      </c>
      <c r="E317" s="23">
        <f>F317</f>
        <v>7150</v>
      </c>
      <c r="F317" s="23">
        <f>4249550-62400-400000-280000-1000000-2500000</f>
        <v>7150</v>
      </c>
      <c r="G317" s="23"/>
      <c r="H317" s="23"/>
      <c r="I317" s="25"/>
      <c r="J317" s="103">
        <f>L317+O317</f>
        <v>0</v>
      </c>
      <c r="K317" s="23"/>
      <c r="L317" s="23"/>
      <c r="M317" s="23"/>
      <c r="N317" s="23"/>
      <c r="O317" s="25"/>
      <c r="P317" s="26">
        <f t="shared" si="97"/>
        <v>7150</v>
      </c>
      <c r="Q317" s="16"/>
    </row>
    <row r="318" spans="1:18" s="27" customFormat="1" ht="12.75" x14ac:dyDescent="0.2">
      <c r="A318" s="96" t="s">
        <v>334</v>
      </c>
      <c r="B318" s="97" t="s">
        <v>74</v>
      </c>
      <c r="C318" s="97" t="s">
        <v>44</v>
      </c>
      <c r="D318" s="2" t="s">
        <v>644</v>
      </c>
      <c r="E318" s="23">
        <f>F318</f>
        <v>11600000</v>
      </c>
      <c r="F318" s="23">
        <v>11600000</v>
      </c>
      <c r="G318" s="23"/>
      <c r="H318" s="23"/>
      <c r="I318" s="25"/>
      <c r="J318" s="103">
        <f>L318+O318</f>
        <v>0</v>
      </c>
      <c r="K318" s="23"/>
      <c r="L318" s="23"/>
      <c r="M318" s="23"/>
      <c r="N318" s="23"/>
      <c r="O318" s="25"/>
      <c r="P318" s="26">
        <f t="shared" si="97"/>
        <v>11600000</v>
      </c>
      <c r="Q318" s="16"/>
    </row>
    <row r="319" spans="1:18" s="27" customFormat="1" ht="12.75" x14ac:dyDescent="0.2">
      <c r="A319" s="96" t="s">
        <v>326</v>
      </c>
      <c r="B319" s="97" t="s">
        <v>287</v>
      </c>
      <c r="C319" s="97" t="s">
        <v>44</v>
      </c>
      <c r="D319" s="28" t="s">
        <v>645</v>
      </c>
      <c r="E319" s="23">
        <f>F319</f>
        <v>11437704</v>
      </c>
      <c r="F319" s="23">
        <f>3600000+3249922+2693266+335580+192196+174400+306180+36000+644980+169180+36000</f>
        <v>11437704</v>
      </c>
      <c r="G319" s="23"/>
      <c r="H319" s="23"/>
      <c r="I319" s="25"/>
      <c r="J319" s="103">
        <f>L319+O319</f>
        <v>0</v>
      </c>
      <c r="K319" s="23"/>
      <c r="L319" s="23"/>
      <c r="M319" s="23"/>
      <c r="N319" s="23"/>
      <c r="O319" s="25"/>
      <c r="P319" s="26">
        <f t="shared" si="97"/>
        <v>11437704</v>
      </c>
      <c r="Q319" s="16"/>
    </row>
    <row r="320" spans="1:18" s="17" customFormat="1" ht="58.5" customHeight="1" x14ac:dyDescent="0.2">
      <c r="A320" s="33" t="s">
        <v>316</v>
      </c>
      <c r="B320" s="19"/>
      <c r="C320" s="19"/>
      <c r="D320" s="20" t="s">
        <v>473</v>
      </c>
      <c r="E320" s="21">
        <f>E322+E323+E325</f>
        <v>13745700</v>
      </c>
      <c r="F320" s="21">
        <f>F322+F323+F325</f>
        <v>13745700</v>
      </c>
      <c r="G320" s="21">
        <f t="shared" ref="G320:O320" si="100">G322+G323+G325</f>
        <v>5890800</v>
      </c>
      <c r="H320" s="21">
        <f t="shared" si="100"/>
        <v>145186</v>
      </c>
      <c r="I320" s="22">
        <f t="shared" si="100"/>
        <v>0</v>
      </c>
      <c r="J320" s="104">
        <f t="shared" si="100"/>
        <v>1740000</v>
      </c>
      <c r="K320" s="21">
        <f t="shared" si="100"/>
        <v>1740000</v>
      </c>
      <c r="L320" s="21">
        <f t="shared" si="100"/>
        <v>0</v>
      </c>
      <c r="M320" s="21">
        <f t="shared" si="100"/>
        <v>0</v>
      </c>
      <c r="N320" s="21">
        <f t="shared" si="100"/>
        <v>0</v>
      </c>
      <c r="O320" s="22">
        <f t="shared" si="100"/>
        <v>1740000</v>
      </c>
      <c r="P320" s="26">
        <f t="shared" si="97"/>
        <v>15485700</v>
      </c>
      <c r="Q320" s="16"/>
      <c r="R320" s="16"/>
    </row>
    <row r="321" spans="1:18" s="17" customFormat="1" ht="54" customHeight="1" x14ac:dyDescent="0.2">
      <c r="A321" s="33" t="s">
        <v>317</v>
      </c>
      <c r="B321" s="19"/>
      <c r="C321" s="19"/>
      <c r="D321" s="20" t="s">
        <v>473</v>
      </c>
      <c r="E321" s="21"/>
      <c r="F321" s="21"/>
      <c r="G321" s="21"/>
      <c r="H321" s="21"/>
      <c r="I321" s="22"/>
      <c r="J321" s="103">
        <f t="shared" ref="J321:J324" si="101">L321+O321</f>
        <v>0</v>
      </c>
      <c r="K321" s="23"/>
      <c r="L321" s="21"/>
      <c r="M321" s="21"/>
      <c r="N321" s="21"/>
      <c r="O321" s="22"/>
      <c r="P321" s="26">
        <f t="shared" si="97"/>
        <v>0</v>
      </c>
      <c r="Q321" s="16"/>
    </row>
    <row r="322" spans="1:18" s="27" customFormat="1" ht="36" x14ac:dyDescent="0.2">
      <c r="A322" s="96" t="s">
        <v>318</v>
      </c>
      <c r="B322" s="97" t="s">
        <v>59</v>
      </c>
      <c r="C322" s="97" t="s">
        <v>22</v>
      </c>
      <c r="D322" s="2" t="s">
        <v>412</v>
      </c>
      <c r="E322" s="23">
        <f>F322+I322</f>
        <v>7890600</v>
      </c>
      <c r="F322" s="23">
        <f>5621000+425200+400000+40000+1634400-230000</f>
        <v>7890600</v>
      </c>
      <c r="G322" s="23">
        <f>4300000+207700-90000-120000+400000+1383100-190000</f>
        <v>5890800</v>
      </c>
      <c r="H322" s="23">
        <f>139000+1000+5186</f>
        <v>145186</v>
      </c>
      <c r="I322" s="25"/>
      <c r="J322" s="103">
        <f t="shared" si="101"/>
        <v>0</v>
      </c>
      <c r="K322" s="23"/>
      <c r="L322" s="23"/>
      <c r="M322" s="23"/>
      <c r="N322" s="23"/>
      <c r="O322" s="25"/>
      <c r="P322" s="26">
        <f t="shared" si="97"/>
        <v>7890600</v>
      </c>
      <c r="Q322" s="16"/>
    </row>
    <row r="323" spans="1:18" s="27" customFormat="1" ht="24" x14ac:dyDescent="0.2">
      <c r="A323" s="96" t="s">
        <v>319</v>
      </c>
      <c r="B323" s="97" t="s">
        <v>174</v>
      </c>
      <c r="C323" s="97" t="s">
        <v>175</v>
      </c>
      <c r="D323" s="28" t="s">
        <v>261</v>
      </c>
      <c r="E323" s="23">
        <f>F323+I323</f>
        <v>275000</v>
      </c>
      <c r="F323" s="23">
        <f>F324</f>
        <v>275000</v>
      </c>
      <c r="G323" s="23"/>
      <c r="H323" s="23"/>
      <c r="I323" s="25"/>
      <c r="J323" s="103">
        <f t="shared" si="101"/>
        <v>0</v>
      </c>
      <c r="K323" s="23"/>
      <c r="L323" s="23"/>
      <c r="M323" s="23"/>
      <c r="N323" s="23"/>
      <c r="O323" s="25"/>
      <c r="P323" s="26">
        <f t="shared" si="97"/>
        <v>275000</v>
      </c>
      <c r="Q323" s="16"/>
    </row>
    <row r="324" spans="1:18" s="27" customFormat="1" ht="36" x14ac:dyDescent="0.2">
      <c r="A324" s="96"/>
      <c r="B324" s="97"/>
      <c r="C324" s="97"/>
      <c r="D324" s="28" t="s">
        <v>649</v>
      </c>
      <c r="E324" s="23">
        <f>F324+I324</f>
        <v>275000</v>
      </c>
      <c r="F324" s="23">
        <f>400000-125000</f>
        <v>275000</v>
      </c>
      <c r="G324" s="23"/>
      <c r="H324" s="23"/>
      <c r="I324" s="25"/>
      <c r="J324" s="103">
        <f t="shared" si="101"/>
        <v>0</v>
      </c>
      <c r="K324" s="23"/>
      <c r="L324" s="23"/>
      <c r="M324" s="23"/>
      <c r="N324" s="23"/>
      <c r="O324" s="25"/>
      <c r="P324" s="26">
        <f t="shared" si="97"/>
        <v>275000</v>
      </c>
      <c r="Q324" s="16"/>
    </row>
    <row r="325" spans="1:18" s="27" customFormat="1" ht="12.75" x14ac:dyDescent="0.2">
      <c r="A325" s="96" t="s">
        <v>320</v>
      </c>
      <c r="B325" s="30" t="s">
        <v>266</v>
      </c>
      <c r="C325" s="97" t="s">
        <v>25</v>
      </c>
      <c r="D325" s="29" t="s">
        <v>181</v>
      </c>
      <c r="E325" s="23">
        <f>F325+I325</f>
        <v>5580100</v>
      </c>
      <c r="F325" s="23">
        <f>F327+F328+F329+F330</f>
        <v>5580100</v>
      </c>
      <c r="G325" s="23"/>
      <c r="H325" s="23"/>
      <c r="I325" s="25">
        <f t="shared" ref="I325" si="102">I327</f>
        <v>0</v>
      </c>
      <c r="J325" s="103">
        <f t="shared" ref="J325:O325" si="103">J327+J328+J329+J330</f>
        <v>1740000</v>
      </c>
      <c r="K325" s="23">
        <f t="shared" si="103"/>
        <v>1740000</v>
      </c>
      <c r="L325" s="23">
        <f t="shared" si="103"/>
        <v>0</v>
      </c>
      <c r="M325" s="23">
        <f t="shared" si="103"/>
        <v>0</v>
      </c>
      <c r="N325" s="23">
        <f t="shared" si="103"/>
        <v>0</v>
      </c>
      <c r="O325" s="25">
        <f t="shared" si="103"/>
        <v>1740000</v>
      </c>
      <c r="P325" s="26">
        <f t="shared" si="97"/>
        <v>7320100</v>
      </c>
      <c r="Q325" s="16"/>
    </row>
    <row r="326" spans="1:18" s="27" customFormat="1" ht="12.75" x14ac:dyDescent="0.2">
      <c r="A326" s="96"/>
      <c r="B326" s="30"/>
      <c r="C326" s="97"/>
      <c r="D326" s="29" t="s">
        <v>275</v>
      </c>
      <c r="E326" s="23"/>
      <c r="F326" s="23"/>
      <c r="G326" s="23"/>
      <c r="H326" s="23"/>
      <c r="I326" s="25"/>
      <c r="J326" s="103"/>
      <c r="K326" s="23"/>
      <c r="L326" s="23"/>
      <c r="M326" s="23"/>
      <c r="N326" s="23"/>
      <c r="O326" s="25"/>
      <c r="P326" s="26">
        <f t="shared" si="97"/>
        <v>0</v>
      </c>
      <c r="Q326" s="16"/>
    </row>
    <row r="327" spans="1:18" s="27" customFormat="1" ht="24" x14ac:dyDescent="0.2">
      <c r="A327" s="96"/>
      <c r="B327" s="97"/>
      <c r="C327" s="97"/>
      <c r="D327" s="28" t="s">
        <v>337</v>
      </c>
      <c r="E327" s="23">
        <f t="shared" ref="E327:E330" si="104">F327+I327</f>
        <v>649900</v>
      </c>
      <c r="F327" s="23">
        <f>500000+49900+100000</f>
        <v>649900</v>
      </c>
      <c r="G327" s="23"/>
      <c r="H327" s="23"/>
      <c r="I327" s="25"/>
      <c r="J327" s="103">
        <f>L327+O327</f>
        <v>0</v>
      </c>
      <c r="K327" s="23"/>
      <c r="L327" s="23"/>
      <c r="M327" s="23"/>
      <c r="N327" s="23"/>
      <c r="O327" s="25"/>
      <c r="P327" s="26">
        <f t="shared" si="97"/>
        <v>649900</v>
      </c>
      <c r="Q327" s="16"/>
    </row>
    <row r="328" spans="1:18" s="27" customFormat="1" ht="48" x14ac:dyDescent="0.2">
      <c r="A328" s="96"/>
      <c r="B328" s="97"/>
      <c r="C328" s="97"/>
      <c r="D328" s="29" t="s">
        <v>341</v>
      </c>
      <c r="E328" s="23">
        <f t="shared" si="104"/>
        <v>195200</v>
      </c>
      <c r="F328" s="23">
        <f>700000-55800-40000-150000-200000-59000</f>
        <v>195200</v>
      </c>
      <c r="G328" s="23"/>
      <c r="H328" s="23"/>
      <c r="I328" s="25"/>
      <c r="J328" s="103">
        <f>L328+O328</f>
        <v>0</v>
      </c>
      <c r="K328" s="23"/>
      <c r="L328" s="23"/>
      <c r="M328" s="23"/>
      <c r="N328" s="23"/>
      <c r="O328" s="25"/>
      <c r="P328" s="26">
        <f t="shared" si="97"/>
        <v>195200</v>
      </c>
      <c r="Q328" s="16"/>
    </row>
    <row r="329" spans="1:18" s="27" customFormat="1" ht="51" customHeight="1" x14ac:dyDescent="0.2">
      <c r="A329" s="96"/>
      <c r="B329" s="97"/>
      <c r="C329" s="97"/>
      <c r="D329" s="55" t="s">
        <v>431</v>
      </c>
      <c r="E329" s="23">
        <f t="shared" si="104"/>
        <v>1175000</v>
      </c>
      <c r="F329" s="23">
        <f>1000000+125000+50000</f>
        <v>1175000</v>
      </c>
      <c r="G329" s="23"/>
      <c r="H329" s="23"/>
      <c r="I329" s="25"/>
      <c r="J329" s="103">
        <f t="shared" ref="J329:J330" si="105">L329+O329</f>
        <v>0</v>
      </c>
      <c r="K329" s="23"/>
      <c r="L329" s="23"/>
      <c r="M329" s="23"/>
      <c r="N329" s="23"/>
      <c r="O329" s="25"/>
      <c r="P329" s="26">
        <f t="shared" si="97"/>
        <v>1175000</v>
      </c>
      <c r="Q329" s="16"/>
    </row>
    <row r="330" spans="1:18" s="27" customFormat="1" ht="48" x14ac:dyDescent="0.2">
      <c r="A330" s="96"/>
      <c r="B330" s="97"/>
      <c r="C330" s="97"/>
      <c r="D330" s="55" t="s">
        <v>455</v>
      </c>
      <c r="E330" s="23">
        <f t="shared" si="104"/>
        <v>3560000</v>
      </c>
      <c r="F330" s="23">
        <f>7000000-2540000-400000-500000</f>
        <v>3560000</v>
      </c>
      <c r="G330" s="23"/>
      <c r="H330" s="23"/>
      <c r="I330" s="25"/>
      <c r="J330" s="103">
        <f t="shared" si="105"/>
        <v>1740000</v>
      </c>
      <c r="K330" s="23">
        <f>2540000-800000</f>
        <v>1740000</v>
      </c>
      <c r="L330" s="23"/>
      <c r="M330" s="23"/>
      <c r="N330" s="23"/>
      <c r="O330" s="25">
        <f>2540000-800000</f>
        <v>1740000</v>
      </c>
      <c r="P330" s="26">
        <f t="shared" si="97"/>
        <v>5300000</v>
      </c>
      <c r="Q330" s="16"/>
    </row>
    <row r="331" spans="1:18" s="17" customFormat="1" ht="49.5" customHeight="1" x14ac:dyDescent="0.2">
      <c r="A331" s="33" t="s">
        <v>184</v>
      </c>
      <c r="B331" s="19"/>
      <c r="C331" s="19"/>
      <c r="D331" s="20" t="s">
        <v>333</v>
      </c>
      <c r="E331" s="21">
        <f>F331+I331</f>
        <v>10490392</v>
      </c>
      <c r="F331" s="21">
        <f>F333+F337+F338+F340+F343+F346+F349+F352+F334</f>
        <v>9515900</v>
      </c>
      <c r="G331" s="21">
        <f>G333+G337+G338+G340+G343+G346+G349+G352+G334</f>
        <v>5970300</v>
      </c>
      <c r="H331" s="21">
        <f>H333+H337+H338+H340+H343+H346+H349+H352+H334</f>
        <v>152550</v>
      </c>
      <c r="I331" s="22">
        <f>I333+I337+I338+I340+I343+I346+I349+I352+I334</f>
        <v>974492</v>
      </c>
      <c r="J331" s="104">
        <f>J333+J337+J338+J340+J343+J346+J349+J352+J334</f>
        <v>27048071</v>
      </c>
      <c r="K331" s="21">
        <f t="shared" ref="K331:O331" si="106">K333+K337+K338+K340+K343+K346+K349+K352+K334</f>
        <v>27048071</v>
      </c>
      <c r="L331" s="21">
        <f t="shared" si="106"/>
        <v>0</v>
      </c>
      <c r="M331" s="21">
        <f t="shared" si="106"/>
        <v>0</v>
      </c>
      <c r="N331" s="21">
        <f t="shared" si="106"/>
        <v>0</v>
      </c>
      <c r="O331" s="22">
        <f t="shared" si="106"/>
        <v>27048071</v>
      </c>
      <c r="P331" s="26">
        <f>E331+J331</f>
        <v>37538463</v>
      </c>
      <c r="Q331" s="16"/>
      <c r="R331" s="16"/>
    </row>
    <row r="332" spans="1:18" s="17" customFormat="1" ht="48" customHeight="1" x14ac:dyDescent="0.2">
      <c r="A332" s="33" t="s">
        <v>176</v>
      </c>
      <c r="B332" s="19"/>
      <c r="C332" s="19"/>
      <c r="D332" s="20" t="s">
        <v>333</v>
      </c>
      <c r="E332" s="21"/>
      <c r="F332" s="21"/>
      <c r="G332" s="21"/>
      <c r="H332" s="21"/>
      <c r="I332" s="22"/>
      <c r="J332" s="103">
        <f t="shared" ref="J332:J352" si="107">L332+O332</f>
        <v>0</v>
      </c>
      <c r="K332" s="23"/>
      <c r="L332" s="21"/>
      <c r="M332" s="21"/>
      <c r="N332" s="21"/>
      <c r="O332" s="22"/>
      <c r="P332" s="26">
        <f t="shared" si="97"/>
        <v>0</v>
      </c>
      <c r="Q332" s="16"/>
    </row>
    <row r="333" spans="1:18" s="27" customFormat="1" ht="36" x14ac:dyDescent="0.2">
      <c r="A333" s="96" t="s">
        <v>177</v>
      </c>
      <c r="B333" s="97" t="s">
        <v>59</v>
      </c>
      <c r="C333" s="97" t="s">
        <v>22</v>
      </c>
      <c r="D333" s="2" t="s">
        <v>412</v>
      </c>
      <c r="E333" s="23">
        <f>F333+I333</f>
        <v>7975100</v>
      </c>
      <c r="F333" s="23">
        <f>5989300+600000+250000+1187800-52000</f>
        <v>7975100</v>
      </c>
      <c r="G333" s="23">
        <f>4600000+450000-40000-50000+100000+955300-45000</f>
        <v>5970300</v>
      </c>
      <c r="H333" s="23">
        <f>162300-9750</f>
        <v>152550</v>
      </c>
      <c r="I333" s="25"/>
      <c r="J333" s="103">
        <f t="shared" si="107"/>
        <v>0</v>
      </c>
      <c r="K333" s="23"/>
      <c r="L333" s="23"/>
      <c r="M333" s="23"/>
      <c r="N333" s="23"/>
      <c r="O333" s="25"/>
      <c r="P333" s="26">
        <f t="shared" si="97"/>
        <v>7975100</v>
      </c>
      <c r="Q333" s="16"/>
    </row>
    <row r="334" spans="1:18" s="27" customFormat="1" ht="24" x14ac:dyDescent="0.2">
      <c r="A334" s="96" t="s">
        <v>612</v>
      </c>
      <c r="B334" s="97" t="s">
        <v>613</v>
      </c>
      <c r="C334" s="97" t="s">
        <v>24</v>
      </c>
      <c r="D334" s="2" t="s">
        <v>614</v>
      </c>
      <c r="E334" s="23">
        <f>F334+I334</f>
        <v>57692</v>
      </c>
      <c r="F334" s="23"/>
      <c r="G334" s="23"/>
      <c r="H334" s="23"/>
      <c r="I334" s="25">
        <f>57692+1000000-1000000</f>
        <v>57692</v>
      </c>
      <c r="J334" s="103"/>
      <c r="K334" s="23"/>
      <c r="L334" s="23"/>
      <c r="M334" s="23"/>
      <c r="N334" s="23"/>
      <c r="O334" s="25"/>
      <c r="P334" s="26">
        <f t="shared" si="97"/>
        <v>57692</v>
      </c>
      <c r="Q334" s="16"/>
    </row>
    <row r="335" spans="1:18" s="27" customFormat="1" ht="12.75" x14ac:dyDescent="0.2">
      <c r="A335" s="96"/>
      <c r="B335" s="97"/>
      <c r="C335" s="97"/>
      <c r="D335" s="59" t="s">
        <v>449</v>
      </c>
      <c r="E335" s="23"/>
      <c r="F335" s="23"/>
      <c r="G335" s="23"/>
      <c r="H335" s="23"/>
      <c r="I335" s="25"/>
      <c r="J335" s="103"/>
      <c r="K335" s="23"/>
      <c r="L335" s="23"/>
      <c r="M335" s="23"/>
      <c r="N335" s="23"/>
      <c r="O335" s="25"/>
      <c r="P335" s="26">
        <f t="shared" si="97"/>
        <v>0</v>
      </c>
      <c r="Q335" s="16"/>
    </row>
    <row r="336" spans="1:18" s="27" customFormat="1" ht="84" x14ac:dyDescent="0.2">
      <c r="A336" s="96"/>
      <c r="B336" s="97"/>
      <c r="C336" s="97"/>
      <c r="D336" s="35" t="s">
        <v>628</v>
      </c>
      <c r="E336" s="23">
        <f t="shared" ref="E336:E352" si="108">F336+I336</f>
        <v>57692</v>
      </c>
      <c r="F336" s="23"/>
      <c r="G336" s="23"/>
      <c r="H336" s="23"/>
      <c r="I336" s="25">
        <f>57692</f>
        <v>57692</v>
      </c>
      <c r="J336" s="103"/>
      <c r="K336" s="23"/>
      <c r="L336" s="23"/>
      <c r="M336" s="23"/>
      <c r="N336" s="23"/>
      <c r="O336" s="25"/>
      <c r="P336" s="26">
        <f t="shared" si="97"/>
        <v>57692</v>
      </c>
      <c r="Q336" s="16"/>
    </row>
    <row r="337" spans="1:17" s="27" customFormat="1" ht="24" x14ac:dyDescent="0.2">
      <c r="A337" s="96" t="s">
        <v>259</v>
      </c>
      <c r="B337" s="97" t="s">
        <v>260</v>
      </c>
      <c r="C337" s="97" t="s">
        <v>25</v>
      </c>
      <c r="D337" s="2" t="s">
        <v>94</v>
      </c>
      <c r="E337" s="23">
        <f t="shared" si="108"/>
        <v>879800</v>
      </c>
      <c r="F337" s="23">
        <f>1000000+49900-70000+49900-150000</f>
        <v>879800</v>
      </c>
      <c r="G337" s="23"/>
      <c r="H337" s="23"/>
      <c r="I337" s="25"/>
      <c r="J337" s="103">
        <f t="shared" ref="J337:J341" si="109">L337+O337</f>
        <v>0</v>
      </c>
      <c r="K337" s="23"/>
      <c r="L337" s="23"/>
      <c r="M337" s="23"/>
      <c r="N337" s="23"/>
      <c r="O337" s="25"/>
      <c r="P337" s="26">
        <f t="shared" si="97"/>
        <v>879800</v>
      </c>
      <c r="Q337" s="16"/>
    </row>
    <row r="338" spans="1:17" s="27" customFormat="1" ht="24" x14ac:dyDescent="0.2">
      <c r="A338" s="96" t="s">
        <v>183</v>
      </c>
      <c r="B338" s="97" t="s">
        <v>95</v>
      </c>
      <c r="C338" s="97" t="s">
        <v>26</v>
      </c>
      <c r="D338" s="2" t="s">
        <v>393</v>
      </c>
      <c r="E338" s="23">
        <f t="shared" si="108"/>
        <v>736100</v>
      </c>
      <c r="F338" s="23">
        <f>F339</f>
        <v>381000</v>
      </c>
      <c r="G338" s="23"/>
      <c r="H338" s="23"/>
      <c r="I338" s="25">
        <f>I339</f>
        <v>355100</v>
      </c>
      <c r="J338" s="103">
        <f t="shared" si="109"/>
        <v>0</v>
      </c>
      <c r="K338" s="23"/>
      <c r="L338" s="23"/>
      <c r="M338" s="23"/>
      <c r="N338" s="23"/>
      <c r="O338" s="25"/>
      <c r="P338" s="26">
        <f t="shared" si="97"/>
        <v>736100</v>
      </c>
      <c r="Q338" s="16"/>
    </row>
    <row r="339" spans="1:17" s="27" customFormat="1" ht="36" x14ac:dyDescent="0.2">
      <c r="A339" s="96"/>
      <c r="B339" s="97"/>
      <c r="C339" s="97"/>
      <c r="D339" s="55" t="s">
        <v>463</v>
      </c>
      <c r="E339" s="23">
        <f t="shared" si="108"/>
        <v>736100</v>
      </c>
      <c r="F339" s="23">
        <f>1400000+100000-513900+100000-355100-200000-150000</f>
        <v>381000</v>
      </c>
      <c r="G339" s="23"/>
      <c r="H339" s="23"/>
      <c r="I339" s="25">
        <f>555100-200000</f>
        <v>355100</v>
      </c>
      <c r="J339" s="103"/>
      <c r="K339" s="23"/>
      <c r="L339" s="23"/>
      <c r="M339" s="23"/>
      <c r="N339" s="23"/>
      <c r="O339" s="25"/>
      <c r="P339" s="26">
        <f t="shared" si="97"/>
        <v>736100</v>
      </c>
      <c r="Q339" s="16"/>
    </row>
    <row r="340" spans="1:17" s="27" customFormat="1" ht="12.75" x14ac:dyDescent="0.2">
      <c r="A340" s="96" t="s">
        <v>179</v>
      </c>
      <c r="B340" s="97" t="s">
        <v>180</v>
      </c>
      <c r="C340" s="97" t="s">
        <v>175</v>
      </c>
      <c r="D340" s="28" t="s">
        <v>394</v>
      </c>
      <c r="E340" s="23">
        <f>F340+I340</f>
        <v>130000</v>
      </c>
      <c r="F340" s="23">
        <f>F341+F342</f>
        <v>130000</v>
      </c>
      <c r="G340" s="23"/>
      <c r="H340" s="23"/>
      <c r="I340" s="25"/>
      <c r="J340" s="103">
        <f t="shared" si="109"/>
        <v>0</v>
      </c>
      <c r="K340" s="23"/>
      <c r="L340" s="23"/>
      <c r="M340" s="23"/>
      <c r="N340" s="23"/>
      <c r="O340" s="25"/>
      <c r="P340" s="26">
        <f t="shared" si="97"/>
        <v>130000</v>
      </c>
      <c r="Q340" s="16"/>
    </row>
    <row r="341" spans="1:17" s="27" customFormat="1" ht="36" x14ac:dyDescent="0.2">
      <c r="A341" s="96"/>
      <c r="B341" s="97"/>
      <c r="C341" s="97"/>
      <c r="D341" s="28" t="s">
        <v>395</v>
      </c>
      <c r="E341" s="23">
        <f t="shared" si="108"/>
        <v>130000</v>
      </c>
      <c r="F341" s="23">
        <f>200000-70000</f>
        <v>130000</v>
      </c>
      <c r="G341" s="23"/>
      <c r="H341" s="23"/>
      <c r="I341" s="25"/>
      <c r="J341" s="103">
        <f t="shared" si="109"/>
        <v>0</v>
      </c>
      <c r="K341" s="23"/>
      <c r="L341" s="23"/>
      <c r="M341" s="23"/>
      <c r="N341" s="23"/>
      <c r="O341" s="25"/>
      <c r="P341" s="26">
        <f t="shared" si="97"/>
        <v>130000</v>
      </c>
      <c r="Q341" s="16"/>
    </row>
    <row r="342" spans="1:17" s="27" customFormat="1" ht="60" hidden="1" x14ac:dyDescent="0.2">
      <c r="A342" s="96"/>
      <c r="B342" s="97"/>
      <c r="C342" s="97"/>
      <c r="D342" s="28" t="s">
        <v>462</v>
      </c>
      <c r="E342" s="23">
        <f t="shared" si="108"/>
        <v>0</v>
      </c>
      <c r="F342" s="23">
        <f>1600000-600000-500000-35000-185000-280000</f>
        <v>0</v>
      </c>
      <c r="G342" s="23"/>
      <c r="H342" s="23"/>
      <c r="I342" s="25"/>
      <c r="J342" s="103"/>
      <c r="K342" s="23"/>
      <c r="L342" s="23"/>
      <c r="M342" s="23"/>
      <c r="N342" s="23"/>
      <c r="O342" s="25"/>
      <c r="P342" s="26">
        <f t="shared" si="97"/>
        <v>0</v>
      </c>
      <c r="Q342" s="16"/>
    </row>
    <row r="343" spans="1:17" s="27" customFormat="1" ht="24" x14ac:dyDescent="0.2">
      <c r="A343" s="96" t="s">
        <v>338</v>
      </c>
      <c r="B343" s="97" t="s">
        <v>76</v>
      </c>
      <c r="C343" s="97" t="s">
        <v>25</v>
      </c>
      <c r="D343" s="2" t="s">
        <v>12</v>
      </c>
      <c r="E343" s="23">
        <f t="shared" si="108"/>
        <v>0</v>
      </c>
      <c r="F343" s="23"/>
      <c r="G343" s="23"/>
      <c r="H343" s="23"/>
      <c r="I343" s="25"/>
      <c r="J343" s="103">
        <f>L343+O343</f>
        <v>26610000</v>
      </c>
      <c r="K343" s="23">
        <f>SUM(K344:K345)</f>
        <v>26610000</v>
      </c>
      <c r="L343" s="23">
        <f t="shared" ref="L343" si="110">SUM(L344:L345)</f>
        <v>0</v>
      </c>
      <c r="M343" s="23">
        <f t="shared" ref="M343" si="111">SUM(M344:M345)</f>
        <v>0</v>
      </c>
      <c r="N343" s="23">
        <f t="shared" ref="N343" si="112">SUM(N344:N345)</f>
        <v>0</v>
      </c>
      <c r="O343" s="25">
        <f t="shared" ref="O343" si="113">SUM(O344:O345)</f>
        <v>26610000</v>
      </c>
      <c r="P343" s="26">
        <f t="shared" si="97"/>
        <v>26610000</v>
      </c>
      <c r="Q343" s="16"/>
    </row>
    <row r="344" spans="1:17" s="27" customFormat="1" ht="12.75" x14ac:dyDescent="0.2">
      <c r="A344" s="96"/>
      <c r="B344" s="97"/>
      <c r="C344" s="97"/>
      <c r="D344" s="2" t="s">
        <v>445</v>
      </c>
      <c r="E344" s="23">
        <f t="shared" si="108"/>
        <v>0</v>
      </c>
      <c r="F344" s="23"/>
      <c r="G344" s="23"/>
      <c r="H344" s="23"/>
      <c r="I344" s="25"/>
      <c r="J344" s="103"/>
      <c r="K344" s="23"/>
      <c r="L344" s="23"/>
      <c r="M344" s="23"/>
      <c r="N344" s="23"/>
      <c r="O344" s="25"/>
      <c r="P344" s="26">
        <f t="shared" si="97"/>
        <v>0</v>
      </c>
      <c r="Q344" s="16"/>
    </row>
    <row r="345" spans="1:17" s="27" customFormat="1" ht="12.75" x14ac:dyDescent="0.2">
      <c r="A345" s="96"/>
      <c r="B345" s="97"/>
      <c r="C345" s="97"/>
      <c r="D345" s="2" t="s">
        <v>448</v>
      </c>
      <c r="E345" s="23">
        <f t="shared" si="108"/>
        <v>0</v>
      </c>
      <c r="F345" s="23"/>
      <c r="G345" s="23"/>
      <c r="H345" s="23"/>
      <c r="I345" s="25"/>
      <c r="J345" s="103">
        <f>L345+O345</f>
        <v>26610000</v>
      </c>
      <c r="K345" s="23">
        <f>16000000+10000000+610000</f>
        <v>26610000</v>
      </c>
      <c r="L345" s="23"/>
      <c r="M345" s="23"/>
      <c r="N345" s="23"/>
      <c r="O345" s="25">
        <f>16000000+10000000+610000</f>
        <v>26610000</v>
      </c>
      <c r="P345" s="26">
        <f t="shared" si="97"/>
        <v>26610000</v>
      </c>
      <c r="Q345" s="16"/>
    </row>
    <row r="346" spans="1:17" s="27" customFormat="1" ht="12.75" x14ac:dyDescent="0.2">
      <c r="A346" s="96" t="s">
        <v>178</v>
      </c>
      <c r="B346" s="30" t="s">
        <v>266</v>
      </c>
      <c r="C346" s="97" t="s">
        <v>25</v>
      </c>
      <c r="D346" s="29" t="s">
        <v>181</v>
      </c>
      <c r="E346" s="23">
        <f t="shared" si="108"/>
        <v>50000</v>
      </c>
      <c r="F346" s="23">
        <f>F348</f>
        <v>50000</v>
      </c>
      <c r="G346" s="23">
        <f t="shared" ref="G346:O346" si="114">G351+G348</f>
        <v>0</v>
      </c>
      <c r="H346" s="23">
        <f t="shared" si="114"/>
        <v>0</v>
      </c>
      <c r="I346" s="25">
        <f t="shared" si="114"/>
        <v>0</v>
      </c>
      <c r="J346" s="103">
        <f t="shared" si="114"/>
        <v>438071</v>
      </c>
      <c r="K346" s="23">
        <f t="shared" si="114"/>
        <v>438071</v>
      </c>
      <c r="L346" s="23">
        <f t="shared" si="114"/>
        <v>0</v>
      </c>
      <c r="M346" s="23">
        <f t="shared" si="114"/>
        <v>0</v>
      </c>
      <c r="N346" s="23">
        <f t="shared" si="114"/>
        <v>0</v>
      </c>
      <c r="O346" s="25">
        <f t="shared" si="114"/>
        <v>438071</v>
      </c>
      <c r="P346" s="26">
        <f t="shared" si="97"/>
        <v>488071</v>
      </c>
      <c r="Q346" s="16"/>
    </row>
    <row r="347" spans="1:17" s="27" customFormat="1" ht="12.75" x14ac:dyDescent="0.2">
      <c r="A347" s="96"/>
      <c r="B347" s="30"/>
      <c r="C347" s="97"/>
      <c r="D347" s="29" t="s">
        <v>182</v>
      </c>
      <c r="E347" s="23">
        <f t="shared" si="108"/>
        <v>0</v>
      </c>
      <c r="F347" s="23"/>
      <c r="G347" s="23"/>
      <c r="H347" s="23"/>
      <c r="I347" s="25"/>
      <c r="J347" s="103">
        <f t="shared" si="107"/>
        <v>0</v>
      </c>
      <c r="K347" s="23"/>
      <c r="L347" s="23"/>
      <c r="M347" s="23"/>
      <c r="N347" s="23"/>
      <c r="O347" s="25"/>
      <c r="P347" s="26">
        <f t="shared" si="97"/>
        <v>0</v>
      </c>
      <c r="Q347" s="16"/>
    </row>
    <row r="348" spans="1:17" s="27" customFormat="1" ht="55.5" customHeight="1" x14ac:dyDescent="0.2">
      <c r="A348" s="96"/>
      <c r="B348" s="30"/>
      <c r="C348" s="97"/>
      <c r="D348" s="40" t="s">
        <v>589</v>
      </c>
      <c r="E348" s="23">
        <f t="shared" si="108"/>
        <v>50000</v>
      </c>
      <c r="F348" s="23">
        <f>100000-50000</f>
        <v>50000</v>
      </c>
      <c r="G348" s="23"/>
      <c r="H348" s="23"/>
      <c r="I348" s="25"/>
      <c r="J348" s="103">
        <f t="shared" si="107"/>
        <v>438071</v>
      </c>
      <c r="K348" s="23">
        <f>395000+200000-156929</f>
        <v>438071</v>
      </c>
      <c r="L348" s="23"/>
      <c r="M348" s="23"/>
      <c r="N348" s="23"/>
      <c r="O348" s="25">
        <f>395000+200000-156929</f>
        <v>438071</v>
      </c>
      <c r="P348" s="26">
        <f t="shared" si="97"/>
        <v>488071</v>
      </c>
      <c r="Q348" s="16"/>
    </row>
    <row r="349" spans="1:17" s="27" customFormat="1" ht="24" x14ac:dyDescent="0.2">
      <c r="A349" s="96" t="s">
        <v>456</v>
      </c>
      <c r="B349" s="30" t="s">
        <v>457</v>
      </c>
      <c r="C349" s="97" t="s">
        <v>458</v>
      </c>
      <c r="D349" s="29" t="s">
        <v>459</v>
      </c>
      <c r="E349" s="23">
        <f t="shared" si="108"/>
        <v>100000</v>
      </c>
      <c r="F349" s="23">
        <f>F351</f>
        <v>100000</v>
      </c>
      <c r="G349" s="23"/>
      <c r="H349" s="23"/>
      <c r="I349" s="25"/>
      <c r="J349" s="103"/>
      <c r="K349" s="23"/>
      <c r="L349" s="23"/>
      <c r="M349" s="23"/>
      <c r="N349" s="23"/>
      <c r="O349" s="25"/>
      <c r="P349" s="26">
        <f t="shared" si="97"/>
        <v>100000</v>
      </c>
      <c r="Q349" s="16"/>
    </row>
    <row r="350" spans="1:17" s="27" customFormat="1" ht="12.75" x14ac:dyDescent="0.2">
      <c r="A350" s="96"/>
      <c r="B350" s="30"/>
      <c r="C350" s="97"/>
      <c r="D350" s="29" t="s">
        <v>182</v>
      </c>
      <c r="E350" s="23">
        <f t="shared" si="108"/>
        <v>0</v>
      </c>
      <c r="F350" s="23"/>
      <c r="G350" s="23"/>
      <c r="H350" s="23"/>
      <c r="I350" s="25"/>
      <c r="J350" s="103"/>
      <c r="K350" s="23"/>
      <c r="L350" s="23"/>
      <c r="M350" s="23"/>
      <c r="N350" s="23"/>
      <c r="O350" s="25"/>
      <c r="P350" s="26">
        <f t="shared" si="97"/>
        <v>0</v>
      </c>
      <c r="Q350" s="16"/>
    </row>
    <row r="351" spans="1:17" s="27" customFormat="1" ht="36" x14ac:dyDescent="0.2">
      <c r="A351" s="96"/>
      <c r="B351" s="30"/>
      <c r="C351" s="97"/>
      <c r="D351" s="40" t="s">
        <v>460</v>
      </c>
      <c r="E351" s="23">
        <f t="shared" si="108"/>
        <v>100000</v>
      </c>
      <c r="F351" s="23">
        <f>200000-100000</f>
        <v>100000</v>
      </c>
      <c r="G351" s="23"/>
      <c r="H351" s="23"/>
      <c r="I351" s="25"/>
      <c r="J351" s="103">
        <f t="shared" si="107"/>
        <v>0</v>
      </c>
      <c r="K351" s="23"/>
      <c r="L351" s="23"/>
      <c r="M351" s="23"/>
      <c r="N351" s="23"/>
      <c r="O351" s="25"/>
      <c r="P351" s="26">
        <f t="shared" si="97"/>
        <v>100000</v>
      </c>
      <c r="Q351" s="16"/>
    </row>
    <row r="352" spans="1:17" s="27" customFormat="1" ht="24" x14ac:dyDescent="0.2">
      <c r="A352" s="96" t="s">
        <v>640</v>
      </c>
      <c r="B352" s="97" t="s">
        <v>535</v>
      </c>
      <c r="C352" s="97" t="s">
        <v>15</v>
      </c>
      <c r="D352" s="1" t="s">
        <v>537</v>
      </c>
      <c r="E352" s="23">
        <f t="shared" si="108"/>
        <v>561700</v>
      </c>
      <c r="F352" s="23"/>
      <c r="G352" s="23"/>
      <c r="H352" s="23"/>
      <c r="I352" s="25">
        <v>561700</v>
      </c>
      <c r="J352" s="103">
        <f t="shared" si="107"/>
        <v>0</v>
      </c>
      <c r="K352" s="23"/>
      <c r="L352" s="23"/>
      <c r="M352" s="23"/>
      <c r="N352" s="23"/>
      <c r="O352" s="25"/>
      <c r="P352" s="26">
        <f t="shared" si="97"/>
        <v>561700</v>
      </c>
      <c r="Q352" s="16"/>
    </row>
    <row r="353" spans="1:18" s="17" customFormat="1" ht="42.75" customHeight="1" x14ac:dyDescent="0.2">
      <c r="A353" s="33" t="s">
        <v>185</v>
      </c>
      <c r="B353" s="19"/>
      <c r="C353" s="19"/>
      <c r="D353" s="20" t="s">
        <v>474</v>
      </c>
      <c r="E353" s="21">
        <f>E355+E358+E366+E359+E357+E356</f>
        <v>30981800</v>
      </c>
      <c r="F353" s="21">
        <f>F355+F358+F366+F359+F357+F356</f>
        <v>23729500</v>
      </c>
      <c r="G353" s="21">
        <f t="shared" ref="G353:I353" si="115">G355+G358+G366+G359+G357</f>
        <v>14959400</v>
      </c>
      <c r="H353" s="21">
        <f t="shared" si="115"/>
        <v>256000</v>
      </c>
      <c r="I353" s="22">
        <f t="shared" si="115"/>
        <v>7252300</v>
      </c>
      <c r="J353" s="104">
        <f>J355+J358+J366+J359+J357+J365+J362</f>
        <v>5423000</v>
      </c>
      <c r="K353" s="21">
        <f t="shared" ref="K353:O353" si="116">K355+K358+K366+K359+K357+K365+K362</f>
        <v>5223000</v>
      </c>
      <c r="L353" s="21">
        <f t="shared" si="116"/>
        <v>200000</v>
      </c>
      <c r="M353" s="21">
        <f t="shared" si="116"/>
        <v>0</v>
      </c>
      <c r="N353" s="21">
        <f t="shared" si="116"/>
        <v>0</v>
      </c>
      <c r="O353" s="22">
        <f t="shared" si="116"/>
        <v>5223000</v>
      </c>
      <c r="P353" s="26">
        <f t="shared" si="97"/>
        <v>36404800</v>
      </c>
      <c r="Q353" s="16"/>
      <c r="R353" s="16"/>
    </row>
    <row r="354" spans="1:18" s="17" customFormat="1" ht="38.25" x14ac:dyDescent="0.2">
      <c r="A354" s="33" t="s">
        <v>186</v>
      </c>
      <c r="B354" s="19"/>
      <c r="C354" s="19"/>
      <c r="D354" s="20" t="s">
        <v>475</v>
      </c>
      <c r="E354" s="21"/>
      <c r="F354" s="21"/>
      <c r="G354" s="21"/>
      <c r="H354" s="21"/>
      <c r="I354" s="22"/>
      <c r="J354" s="103">
        <f>L354+O354</f>
        <v>0</v>
      </c>
      <c r="K354" s="23"/>
      <c r="L354" s="21"/>
      <c r="M354" s="21"/>
      <c r="N354" s="21"/>
      <c r="O354" s="22"/>
      <c r="P354" s="26">
        <f t="shared" si="97"/>
        <v>0</v>
      </c>
      <c r="Q354" s="16"/>
    </row>
    <row r="355" spans="1:18" s="27" customFormat="1" ht="36" x14ac:dyDescent="0.2">
      <c r="A355" s="96" t="s">
        <v>187</v>
      </c>
      <c r="B355" s="97" t="s">
        <v>59</v>
      </c>
      <c r="C355" s="97" t="s">
        <v>22</v>
      </c>
      <c r="D355" s="2" t="s">
        <v>412</v>
      </c>
      <c r="E355" s="23">
        <f>F355+I355</f>
        <v>20009500</v>
      </c>
      <c r="F355" s="23">
        <f>15055000+146000+900000+3868500+70000+60000-90000</f>
        <v>20009500</v>
      </c>
      <c r="G355" s="23">
        <f>11500000-400000+850000-200000+3244400-35000</f>
        <v>14959400</v>
      </c>
      <c r="H355" s="23">
        <f>235000+21000</f>
        <v>256000</v>
      </c>
      <c r="I355" s="25"/>
      <c r="J355" s="103">
        <f>L355+O355</f>
        <v>0</v>
      </c>
      <c r="K355" s="23"/>
      <c r="L355" s="23"/>
      <c r="M355" s="23"/>
      <c r="N355" s="23"/>
      <c r="O355" s="25"/>
      <c r="P355" s="26">
        <f t="shared" si="97"/>
        <v>20009500</v>
      </c>
      <c r="Q355" s="16"/>
    </row>
    <row r="356" spans="1:18" s="27" customFormat="1" ht="12.75" x14ac:dyDescent="0.2">
      <c r="A356" s="96" t="s">
        <v>538</v>
      </c>
      <c r="B356" s="97" t="s">
        <v>14</v>
      </c>
      <c r="C356" s="97" t="s">
        <v>15</v>
      </c>
      <c r="D356" s="2" t="s">
        <v>156</v>
      </c>
      <c r="E356" s="23">
        <f>F356+I356</f>
        <v>100000</v>
      </c>
      <c r="F356" s="23">
        <v>100000</v>
      </c>
      <c r="G356" s="23"/>
      <c r="H356" s="23"/>
      <c r="I356" s="25"/>
      <c r="J356" s="103"/>
      <c r="K356" s="23"/>
      <c r="L356" s="23"/>
      <c r="M356" s="23"/>
      <c r="N356" s="23"/>
      <c r="O356" s="25"/>
      <c r="P356" s="26">
        <f t="shared" si="97"/>
        <v>100000</v>
      </c>
      <c r="Q356" s="16"/>
    </row>
    <row r="357" spans="1:18" s="27" customFormat="1" ht="12.75" x14ac:dyDescent="0.2">
      <c r="A357" s="96" t="s">
        <v>423</v>
      </c>
      <c r="B357" s="97" t="s">
        <v>424</v>
      </c>
      <c r="C357" s="97" t="s">
        <v>190</v>
      </c>
      <c r="D357" s="2" t="s">
        <v>425</v>
      </c>
      <c r="E357" s="23">
        <f>F357+I357</f>
        <v>3409300</v>
      </c>
      <c r="F357" s="23">
        <f>3200000+66000</f>
        <v>3266000</v>
      </c>
      <c r="G357" s="23"/>
      <c r="H357" s="23"/>
      <c r="I357" s="25">
        <f>300000-50000-40700-66000</f>
        <v>143300</v>
      </c>
      <c r="J357" s="103"/>
      <c r="K357" s="23"/>
      <c r="L357" s="23"/>
      <c r="M357" s="23"/>
      <c r="N357" s="23"/>
      <c r="O357" s="25"/>
      <c r="P357" s="26">
        <f t="shared" si="97"/>
        <v>3409300</v>
      </c>
      <c r="Q357" s="16"/>
    </row>
    <row r="358" spans="1:18" s="27" customFormat="1" ht="12.75" x14ac:dyDescent="0.2">
      <c r="A358" s="96" t="s">
        <v>188</v>
      </c>
      <c r="B358" s="97" t="s">
        <v>189</v>
      </c>
      <c r="C358" s="97" t="s">
        <v>190</v>
      </c>
      <c r="D358" s="2" t="s">
        <v>191</v>
      </c>
      <c r="E358" s="23">
        <f>F358+I358</f>
        <v>354000</v>
      </c>
      <c r="F358" s="23">
        <f>600000-246000</f>
        <v>354000</v>
      </c>
      <c r="G358" s="23"/>
      <c r="H358" s="23"/>
      <c r="I358" s="25"/>
      <c r="J358" s="103">
        <f>L358+O358</f>
        <v>0</v>
      </c>
      <c r="K358" s="23"/>
      <c r="L358" s="23"/>
      <c r="M358" s="23"/>
      <c r="N358" s="23"/>
      <c r="O358" s="25"/>
      <c r="P358" s="26">
        <f t="shared" si="97"/>
        <v>354000</v>
      </c>
      <c r="Q358" s="16"/>
    </row>
    <row r="359" spans="1:18" s="27" customFormat="1" ht="12.75" x14ac:dyDescent="0.2">
      <c r="A359" s="96" t="s">
        <v>422</v>
      </c>
      <c r="B359" s="97" t="s">
        <v>391</v>
      </c>
      <c r="C359" s="97" t="s">
        <v>190</v>
      </c>
      <c r="D359" s="2" t="s">
        <v>392</v>
      </c>
      <c r="E359" s="23">
        <f t="shared" ref="E359" si="117">F359+I359</f>
        <v>7109000</v>
      </c>
      <c r="F359" s="23"/>
      <c r="G359" s="23"/>
      <c r="H359" s="23"/>
      <c r="I359" s="25">
        <f>5000000+100000+2009000</f>
        <v>7109000</v>
      </c>
      <c r="J359" s="103">
        <f t="shared" ref="J359" si="118">L359+O359</f>
        <v>0</v>
      </c>
      <c r="K359" s="23"/>
      <c r="L359" s="23"/>
      <c r="M359" s="23"/>
      <c r="N359" s="23"/>
      <c r="O359" s="25"/>
      <c r="P359" s="26">
        <f t="shared" si="97"/>
        <v>7109000</v>
      </c>
      <c r="Q359" s="16"/>
    </row>
    <row r="360" spans="1:18" s="27" customFormat="1" ht="12.75" x14ac:dyDescent="0.2">
      <c r="A360" s="96"/>
      <c r="B360" s="97"/>
      <c r="C360" s="97"/>
      <c r="D360" s="29" t="s">
        <v>182</v>
      </c>
      <c r="E360" s="23"/>
      <c r="F360" s="23"/>
      <c r="G360" s="23"/>
      <c r="H360" s="23"/>
      <c r="I360" s="25"/>
      <c r="J360" s="103"/>
      <c r="K360" s="23"/>
      <c r="L360" s="23"/>
      <c r="M360" s="23"/>
      <c r="N360" s="23"/>
      <c r="O360" s="25"/>
      <c r="P360" s="26">
        <f t="shared" si="97"/>
        <v>0</v>
      </c>
      <c r="Q360" s="16"/>
    </row>
    <row r="361" spans="1:18" s="27" customFormat="1" ht="12.75" x14ac:dyDescent="0.2">
      <c r="A361" s="96"/>
      <c r="B361" s="97"/>
      <c r="C361" s="97"/>
      <c r="D361" s="29" t="s">
        <v>437</v>
      </c>
      <c r="E361" s="23">
        <f t="shared" ref="E361:E364" si="119">F361+I361</f>
        <v>7109000</v>
      </c>
      <c r="F361" s="23"/>
      <c r="G361" s="23"/>
      <c r="H361" s="23"/>
      <c r="I361" s="25">
        <f>5000000+100000+2009000</f>
        <v>7109000</v>
      </c>
      <c r="J361" s="103"/>
      <c r="K361" s="23"/>
      <c r="L361" s="23"/>
      <c r="M361" s="23"/>
      <c r="N361" s="23"/>
      <c r="O361" s="25"/>
      <c r="P361" s="26">
        <f t="shared" si="97"/>
        <v>7109000</v>
      </c>
      <c r="Q361" s="16"/>
    </row>
    <row r="362" spans="1:18" s="27" customFormat="1" ht="24" x14ac:dyDescent="0.2">
      <c r="A362" s="96" t="s">
        <v>515</v>
      </c>
      <c r="B362" s="97" t="s">
        <v>76</v>
      </c>
      <c r="C362" s="97" t="s">
        <v>25</v>
      </c>
      <c r="D362" s="2" t="s">
        <v>12</v>
      </c>
      <c r="E362" s="23">
        <f t="shared" si="119"/>
        <v>0</v>
      </c>
      <c r="F362" s="23"/>
      <c r="G362" s="23"/>
      <c r="H362" s="23"/>
      <c r="I362" s="25"/>
      <c r="J362" s="103">
        <f>L362+O362</f>
        <v>5223000</v>
      </c>
      <c r="K362" s="23">
        <f>SUM(K363:K364)</f>
        <v>5223000</v>
      </c>
      <c r="L362" s="23">
        <f t="shared" ref="L362:O362" si="120">SUM(L363:L364)</f>
        <v>0</v>
      </c>
      <c r="M362" s="23">
        <f t="shared" si="120"/>
        <v>0</v>
      </c>
      <c r="N362" s="23">
        <f t="shared" si="120"/>
        <v>0</v>
      </c>
      <c r="O362" s="25">
        <f t="shared" si="120"/>
        <v>5223000</v>
      </c>
      <c r="P362" s="26">
        <f t="shared" si="97"/>
        <v>5223000</v>
      </c>
      <c r="Q362" s="16"/>
    </row>
    <row r="363" spans="1:18" s="27" customFormat="1" ht="12.75" x14ac:dyDescent="0.2">
      <c r="A363" s="96"/>
      <c r="B363" s="97"/>
      <c r="C363" s="97"/>
      <c r="D363" s="2" t="s">
        <v>445</v>
      </c>
      <c r="E363" s="23">
        <f t="shared" si="119"/>
        <v>0</v>
      </c>
      <c r="F363" s="23"/>
      <c r="G363" s="23"/>
      <c r="H363" s="23"/>
      <c r="I363" s="25"/>
      <c r="J363" s="103"/>
      <c r="K363" s="23"/>
      <c r="L363" s="23"/>
      <c r="M363" s="23"/>
      <c r="N363" s="23"/>
      <c r="O363" s="25"/>
      <c r="P363" s="26">
        <f t="shared" si="97"/>
        <v>0</v>
      </c>
      <c r="Q363" s="16"/>
    </row>
    <row r="364" spans="1:18" s="27" customFormat="1" ht="12.75" x14ac:dyDescent="0.2">
      <c r="A364" s="96"/>
      <c r="B364" s="97"/>
      <c r="C364" s="97"/>
      <c r="D364" s="2" t="s">
        <v>437</v>
      </c>
      <c r="E364" s="23">
        <f t="shared" si="119"/>
        <v>0</v>
      </c>
      <c r="F364" s="23"/>
      <c r="G364" s="23"/>
      <c r="H364" s="23"/>
      <c r="I364" s="25"/>
      <c r="J364" s="103">
        <f>L364+O364</f>
        <v>5223000</v>
      </c>
      <c r="K364" s="23">
        <f>2368000+1683000+394000+390000+388000</f>
        <v>5223000</v>
      </c>
      <c r="L364" s="23"/>
      <c r="M364" s="23"/>
      <c r="N364" s="23"/>
      <c r="O364" s="25">
        <f>2368000+1683000+394000+390000+388000</f>
        <v>5223000</v>
      </c>
      <c r="P364" s="26">
        <f t="shared" si="97"/>
        <v>5223000</v>
      </c>
      <c r="Q364" s="16"/>
    </row>
    <row r="365" spans="1:18" s="27" customFormat="1" ht="96" x14ac:dyDescent="0.2">
      <c r="A365" s="96" t="s">
        <v>526</v>
      </c>
      <c r="B365" s="97" t="s">
        <v>249</v>
      </c>
      <c r="C365" s="97" t="s">
        <v>25</v>
      </c>
      <c r="D365" s="2" t="s">
        <v>250</v>
      </c>
      <c r="E365" s="23"/>
      <c r="F365" s="23"/>
      <c r="G365" s="23"/>
      <c r="H365" s="23"/>
      <c r="I365" s="25"/>
      <c r="J365" s="103">
        <f t="shared" ref="J365" si="121">L365+O365</f>
        <v>100000</v>
      </c>
      <c r="K365" s="23"/>
      <c r="L365" s="23">
        <v>100000</v>
      </c>
      <c r="M365" s="23"/>
      <c r="N365" s="23"/>
      <c r="O365" s="25"/>
      <c r="P365" s="26">
        <f t="shared" si="97"/>
        <v>100000</v>
      </c>
      <c r="Q365" s="16"/>
    </row>
    <row r="366" spans="1:18" s="27" customFormat="1" ht="24" x14ac:dyDescent="0.2">
      <c r="A366" s="96" t="s">
        <v>299</v>
      </c>
      <c r="B366" s="97" t="s">
        <v>93</v>
      </c>
      <c r="C366" s="97" t="s">
        <v>17</v>
      </c>
      <c r="D366" s="2" t="s">
        <v>9</v>
      </c>
      <c r="E366" s="23">
        <f>F366+I366</f>
        <v>0</v>
      </c>
      <c r="F366" s="23"/>
      <c r="G366" s="23"/>
      <c r="H366" s="23"/>
      <c r="I366" s="25"/>
      <c r="J366" s="103">
        <f>L366+O366</f>
        <v>100000</v>
      </c>
      <c r="K366" s="23"/>
      <c r="L366" s="23">
        <v>100000</v>
      </c>
      <c r="M366" s="23"/>
      <c r="N366" s="23"/>
      <c r="O366" s="25"/>
      <c r="P366" s="26">
        <f t="shared" si="97"/>
        <v>100000</v>
      </c>
      <c r="Q366" s="16"/>
    </row>
    <row r="367" spans="1:18" s="17" customFormat="1" ht="38.25" x14ac:dyDescent="0.2">
      <c r="A367" s="33" t="s">
        <v>312</v>
      </c>
      <c r="B367" s="19"/>
      <c r="C367" s="19"/>
      <c r="D367" s="20" t="s">
        <v>315</v>
      </c>
      <c r="E367" s="21">
        <f>E369</f>
        <v>38386500</v>
      </c>
      <c r="F367" s="21">
        <f t="shared" ref="F367:O367" si="122">F369</f>
        <v>38386500</v>
      </c>
      <c r="G367" s="21">
        <f t="shared" si="122"/>
        <v>26700800</v>
      </c>
      <c r="H367" s="21">
        <f t="shared" si="122"/>
        <v>2015000</v>
      </c>
      <c r="I367" s="22">
        <f t="shared" si="122"/>
        <v>0</v>
      </c>
      <c r="J367" s="104">
        <f>J369</f>
        <v>81300</v>
      </c>
      <c r="K367" s="21">
        <f t="shared" si="122"/>
        <v>81300</v>
      </c>
      <c r="L367" s="21">
        <f t="shared" si="122"/>
        <v>0</v>
      </c>
      <c r="M367" s="21">
        <f t="shared" si="122"/>
        <v>0</v>
      </c>
      <c r="N367" s="21">
        <f t="shared" si="122"/>
        <v>0</v>
      </c>
      <c r="O367" s="22">
        <f t="shared" si="122"/>
        <v>81300</v>
      </c>
      <c r="P367" s="26">
        <f>E367+J367</f>
        <v>38467800</v>
      </c>
      <c r="Q367" s="16"/>
      <c r="R367" s="16"/>
    </row>
    <row r="368" spans="1:18" s="17" customFormat="1" ht="38.25" x14ac:dyDescent="0.2">
      <c r="A368" s="33" t="s">
        <v>313</v>
      </c>
      <c r="B368" s="19"/>
      <c r="C368" s="19"/>
      <c r="D368" s="20" t="s">
        <v>315</v>
      </c>
      <c r="E368" s="21"/>
      <c r="F368" s="21"/>
      <c r="G368" s="21"/>
      <c r="H368" s="21"/>
      <c r="I368" s="22"/>
      <c r="J368" s="103">
        <f>L368+O368</f>
        <v>0</v>
      </c>
      <c r="K368" s="23"/>
      <c r="L368" s="21"/>
      <c r="M368" s="21"/>
      <c r="N368" s="21"/>
      <c r="O368" s="22"/>
      <c r="P368" s="26">
        <f t="shared" si="97"/>
        <v>0</v>
      </c>
      <c r="Q368" s="16"/>
    </row>
    <row r="369" spans="1:18" s="27" customFormat="1" ht="36" x14ac:dyDescent="0.2">
      <c r="A369" s="96" t="s">
        <v>314</v>
      </c>
      <c r="B369" s="97" t="s">
        <v>59</v>
      </c>
      <c r="C369" s="97" t="s">
        <v>22</v>
      </c>
      <c r="D369" s="2" t="s">
        <v>412</v>
      </c>
      <c r="E369" s="23">
        <f>F369+I369</f>
        <v>38386500</v>
      </c>
      <c r="F369" s="23">
        <f>24200000+50000+5745900+2500000+5880600-300000+310000</f>
        <v>38386500</v>
      </c>
      <c r="G369" s="23">
        <f>15608000+4719700-850000+2200000+4693100+310000+20000</f>
        <v>26700800</v>
      </c>
      <c r="H369" s="23">
        <f>2279000+36000-300000</f>
        <v>2015000</v>
      </c>
      <c r="I369" s="25"/>
      <c r="J369" s="103">
        <f>L369+O369</f>
        <v>81300</v>
      </c>
      <c r="K369" s="23">
        <f>81300</f>
        <v>81300</v>
      </c>
      <c r="L369" s="23"/>
      <c r="M369" s="23"/>
      <c r="N369" s="23"/>
      <c r="O369" s="25">
        <f>81300</f>
        <v>81300</v>
      </c>
      <c r="P369" s="26">
        <f t="shared" si="97"/>
        <v>38467800</v>
      </c>
      <c r="Q369" s="16"/>
    </row>
    <row r="370" spans="1:18" s="17" customFormat="1" ht="25.5" x14ac:dyDescent="0.2">
      <c r="A370" s="33" t="s">
        <v>112</v>
      </c>
      <c r="B370" s="19"/>
      <c r="C370" s="19"/>
      <c r="D370" s="20" t="s">
        <v>342</v>
      </c>
      <c r="E370" s="21">
        <f>E372+E373+E380+E381+E390+E382</f>
        <v>35952785.700000003</v>
      </c>
      <c r="F370" s="21">
        <f>F372+F373+F380+F381+F390+F382</f>
        <v>35896768.700000003</v>
      </c>
      <c r="G370" s="21">
        <f>G372+G373+G380+G381</f>
        <v>11680000</v>
      </c>
      <c r="H370" s="21">
        <f>H372+H373+H380+381:381</f>
        <v>900000</v>
      </c>
      <c r="I370" s="22">
        <f>I372+I373+I380+I381</f>
        <v>0</v>
      </c>
      <c r="J370" s="104">
        <f>J372+J373+J380+J381+J382+J390</f>
        <v>45185462</v>
      </c>
      <c r="K370" s="21">
        <f>K372+K373+K380+K381+K382+K390</f>
        <v>45185462</v>
      </c>
      <c r="L370" s="21">
        <f t="shared" ref="L370:O370" si="123">L372+L373+L380+L381+L382+L390</f>
        <v>0</v>
      </c>
      <c r="M370" s="21">
        <f t="shared" si="123"/>
        <v>0</v>
      </c>
      <c r="N370" s="21">
        <f t="shared" si="123"/>
        <v>0</v>
      </c>
      <c r="O370" s="22">
        <f t="shared" si="123"/>
        <v>45185462</v>
      </c>
      <c r="P370" s="26">
        <f t="shared" si="97"/>
        <v>81138247.700000003</v>
      </c>
      <c r="Q370" s="16"/>
      <c r="R370" s="16"/>
    </row>
    <row r="371" spans="1:18" s="17" customFormat="1" ht="25.5" x14ac:dyDescent="0.2">
      <c r="A371" s="33" t="s">
        <v>113</v>
      </c>
      <c r="B371" s="19"/>
      <c r="C371" s="19"/>
      <c r="D371" s="20" t="s">
        <v>342</v>
      </c>
      <c r="E371" s="21"/>
      <c r="F371" s="21"/>
      <c r="G371" s="21"/>
      <c r="H371" s="21"/>
      <c r="I371" s="22"/>
      <c r="J371" s="103">
        <f t="shared" si="78"/>
        <v>0</v>
      </c>
      <c r="K371" s="23"/>
      <c r="L371" s="21"/>
      <c r="M371" s="21"/>
      <c r="N371" s="21"/>
      <c r="O371" s="22"/>
      <c r="P371" s="26">
        <f t="shared" si="97"/>
        <v>0</v>
      </c>
      <c r="Q371" s="16"/>
      <c r="R371" s="43"/>
    </row>
    <row r="372" spans="1:18" s="27" customFormat="1" ht="36" x14ac:dyDescent="0.2">
      <c r="A372" s="96" t="s">
        <v>114</v>
      </c>
      <c r="B372" s="97" t="s">
        <v>59</v>
      </c>
      <c r="C372" s="97" t="s">
        <v>22</v>
      </c>
      <c r="D372" s="2" t="s">
        <v>412</v>
      </c>
      <c r="E372" s="23">
        <f>F372+I372</f>
        <v>16650334</v>
      </c>
      <c r="F372" s="23">
        <f>19300000-1430000-16800-710000-92866-400000</f>
        <v>16650334</v>
      </c>
      <c r="G372" s="23">
        <f>12500000-710000-110000</f>
        <v>11680000</v>
      </c>
      <c r="H372" s="23">
        <f>800000+100000</f>
        <v>900000</v>
      </c>
      <c r="I372" s="25"/>
      <c r="J372" s="103">
        <f t="shared" si="78"/>
        <v>175687</v>
      </c>
      <c r="K372" s="23">
        <f>92866+82821</f>
        <v>175687</v>
      </c>
      <c r="L372" s="23"/>
      <c r="M372" s="23"/>
      <c r="N372" s="23"/>
      <c r="O372" s="25">
        <f>92866+82821</f>
        <v>175687</v>
      </c>
      <c r="P372" s="26">
        <f t="shared" si="97"/>
        <v>16826021</v>
      </c>
      <c r="Q372" s="16"/>
      <c r="R372" s="46"/>
    </row>
    <row r="373" spans="1:18" s="27" customFormat="1" ht="12.75" x14ac:dyDescent="0.2">
      <c r="A373" s="96" t="s">
        <v>171</v>
      </c>
      <c r="B373" s="97" t="s">
        <v>14</v>
      </c>
      <c r="C373" s="97" t="s">
        <v>15</v>
      </c>
      <c r="D373" s="2" t="s">
        <v>172</v>
      </c>
      <c r="E373" s="23">
        <f>F373+I373</f>
        <v>3734.6999999992549</v>
      </c>
      <c r="F373" s="23">
        <f>F375+F376+F377+F378+795</f>
        <v>3734.6999999992549</v>
      </c>
      <c r="G373" s="23"/>
      <c r="H373" s="23"/>
      <c r="I373" s="25">
        <f>I375+I376+I377+I378</f>
        <v>0</v>
      </c>
      <c r="J373" s="103">
        <f>J375+J376+J377+J378+J379</f>
        <v>11565000</v>
      </c>
      <c r="K373" s="23">
        <f t="shared" ref="K373:O373" si="124">K375+K376+K377+K378+K379</f>
        <v>11565000</v>
      </c>
      <c r="L373" s="23">
        <f t="shared" si="124"/>
        <v>0</v>
      </c>
      <c r="M373" s="23">
        <f t="shared" si="124"/>
        <v>0</v>
      </c>
      <c r="N373" s="23">
        <f t="shared" si="124"/>
        <v>0</v>
      </c>
      <c r="O373" s="25">
        <f t="shared" si="124"/>
        <v>11565000</v>
      </c>
      <c r="P373" s="26">
        <f t="shared" si="97"/>
        <v>11568734.699999999</v>
      </c>
      <c r="Q373" s="16"/>
    </row>
    <row r="374" spans="1:18" s="27" customFormat="1" ht="12.75" x14ac:dyDescent="0.2">
      <c r="A374" s="96"/>
      <c r="B374" s="97"/>
      <c r="C374" s="97"/>
      <c r="D374" s="2" t="s">
        <v>27</v>
      </c>
      <c r="E374" s="23"/>
      <c r="F374" s="23"/>
      <c r="G374" s="23"/>
      <c r="H374" s="23"/>
      <c r="I374" s="25"/>
      <c r="J374" s="103"/>
      <c r="K374" s="23"/>
      <c r="L374" s="23"/>
      <c r="M374" s="23"/>
      <c r="N374" s="23"/>
      <c r="O374" s="25"/>
      <c r="P374" s="26">
        <f t="shared" si="97"/>
        <v>0</v>
      </c>
      <c r="Q374" s="16"/>
    </row>
    <row r="375" spans="1:18" s="27" customFormat="1" ht="12.75" x14ac:dyDescent="0.2">
      <c r="A375" s="96"/>
      <c r="B375" s="97"/>
      <c r="C375" s="97"/>
      <c r="D375" s="28" t="s">
        <v>28</v>
      </c>
      <c r="E375" s="23">
        <f t="shared" ref="E375:E384" si="125">F375+I375</f>
        <v>0</v>
      </c>
      <c r="F375" s="23">
        <f>100000-60000-40000</f>
        <v>0</v>
      </c>
      <c r="G375" s="23"/>
      <c r="H375" s="23"/>
      <c r="I375" s="25"/>
      <c r="J375" s="103">
        <f t="shared" ref="J375:J381" si="126">L375+O375</f>
        <v>0</v>
      </c>
      <c r="K375" s="23"/>
      <c r="L375" s="23"/>
      <c r="M375" s="23"/>
      <c r="N375" s="23"/>
      <c r="O375" s="25"/>
      <c r="P375" s="26">
        <f t="shared" si="97"/>
        <v>0</v>
      </c>
      <c r="Q375" s="16"/>
    </row>
    <row r="376" spans="1:18" s="27" customFormat="1" ht="36" x14ac:dyDescent="0.2">
      <c r="A376" s="96"/>
      <c r="B376" s="97"/>
      <c r="C376" s="97"/>
      <c r="D376" s="2" t="s">
        <v>306</v>
      </c>
      <c r="E376" s="23">
        <f>F376+I376</f>
        <v>2935</v>
      </c>
      <c r="F376" s="23">
        <f>1086352+50010+556812-29990+500000-335580-192196-174400-50000-306180-36000+645000+130346-644980-993471+62400-169180-27320-10008-58690+10</f>
        <v>2935</v>
      </c>
      <c r="G376" s="23"/>
      <c r="H376" s="23"/>
      <c r="I376" s="25"/>
      <c r="J376" s="103">
        <f t="shared" si="126"/>
        <v>0</v>
      </c>
      <c r="K376" s="23"/>
      <c r="L376" s="23"/>
      <c r="M376" s="23"/>
      <c r="N376" s="23"/>
      <c r="O376" s="25"/>
      <c r="P376" s="26">
        <f t="shared" si="97"/>
        <v>2935</v>
      </c>
      <c r="Q376" s="16"/>
    </row>
    <row r="377" spans="1:18" s="27" customFormat="1" ht="57" customHeight="1" x14ac:dyDescent="0.2">
      <c r="A377" s="96"/>
      <c r="B377" s="97"/>
      <c r="C377" s="97"/>
      <c r="D377" s="2" t="s">
        <v>542</v>
      </c>
      <c r="E377" s="23">
        <f t="shared" si="125"/>
        <v>4.6999999992549419</v>
      </c>
      <c r="F377" s="23">
        <f>35000000-4767984.3-4439887-8200689-14879035-2712400</f>
        <v>4.6999999992549419</v>
      </c>
      <c r="G377" s="23"/>
      <c r="H377" s="23"/>
      <c r="I377" s="25"/>
      <c r="J377" s="103">
        <f t="shared" si="126"/>
        <v>0</v>
      </c>
      <c r="K377" s="23"/>
      <c r="L377" s="23"/>
      <c r="M377" s="23"/>
      <c r="N377" s="23"/>
      <c r="O377" s="25"/>
      <c r="P377" s="26">
        <f t="shared" ref="P377:P412" si="127">E377+J377</f>
        <v>4.6999999992549419</v>
      </c>
      <c r="Q377" s="16"/>
    </row>
    <row r="378" spans="1:18" s="27" customFormat="1" ht="12.75" hidden="1" x14ac:dyDescent="0.2">
      <c r="A378" s="96"/>
      <c r="B378" s="97"/>
      <c r="C378" s="97"/>
      <c r="D378" s="2" t="s">
        <v>307</v>
      </c>
      <c r="E378" s="23">
        <f t="shared" si="125"/>
        <v>0</v>
      </c>
      <c r="F378" s="23">
        <f>500000-200000-99900-99900+525000-525000+400000-400000+400000-400000+450000-450000-99900-300</f>
        <v>0</v>
      </c>
      <c r="G378" s="23"/>
      <c r="H378" s="23"/>
      <c r="I378" s="25"/>
      <c r="J378" s="103">
        <f t="shared" si="126"/>
        <v>0</v>
      </c>
      <c r="K378" s="23"/>
      <c r="L378" s="23"/>
      <c r="M378" s="23"/>
      <c r="N378" s="23"/>
      <c r="O378" s="25"/>
      <c r="P378" s="26">
        <f t="shared" si="127"/>
        <v>0</v>
      </c>
      <c r="Q378" s="16"/>
    </row>
    <row r="379" spans="1:18" s="27" customFormat="1" ht="24" x14ac:dyDescent="0.2">
      <c r="A379" s="96"/>
      <c r="B379" s="97"/>
      <c r="C379" s="97"/>
      <c r="D379" s="2" t="s">
        <v>516</v>
      </c>
      <c r="E379" s="23"/>
      <c r="F379" s="23"/>
      <c r="G379" s="23"/>
      <c r="H379" s="23"/>
      <c r="I379" s="25"/>
      <c r="J379" s="103">
        <f t="shared" si="126"/>
        <v>11565000</v>
      </c>
      <c r="K379" s="23">
        <f>5000000+5000000+1000000+565000</f>
        <v>11565000</v>
      </c>
      <c r="L379" s="23"/>
      <c r="M379" s="23"/>
      <c r="N379" s="23"/>
      <c r="O379" s="25">
        <f>5000000+5000000+1000000+565000</f>
        <v>11565000</v>
      </c>
      <c r="P379" s="26">
        <f t="shared" si="127"/>
        <v>11565000</v>
      </c>
      <c r="Q379" s="16"/>
    </row>
    <row r="380" spans="1:18" s="27" customFormat="1" ht="12.75" x14ac:dyDescent="0.2">
      <c r="A380" s="96" t="s">
        <v>115</v>
      </c>
      <c r="B380" s="97" t="s">
        <v>96</v>
      </c>
      <c r="C380" s="97" t="s">
        <v>98</v>
      </c>
      <c r="D380" s="2" t="s">
        <v>97</v>
      </c>
      <c r="E380" s="23">
        <f>F380+I380</f>
        <v>10720000</v>
      </c>
      <c r="F380" s="23">
        <f>15000000-400000-3500000-380000</f>
        <v>10720000</v>
      </c>
      <c r="G380" s="23"/>
      <c r="H380" s="23"/>
      <c r="I380" s="25"/>
      <c r="J380" s="103">
        <f t="shared" si="126"/>
        <v>0</v>
      </c>
      <c r="K380" s="23"/>
      <c r="L380" s="23"/>
      <c r="M380" s="23"/>
      <c r="N380" s="23"/>
      <c r="O380" s="25"/>
      <c r="P380" s="26">
        <f t="shared" si="127"/>
        <v>10720000</v>
      </c>
      <c r="Q380" s="16"/>
      <c r="R380" s="39"/>
    </row>
    <row r="381" spans="1:18" s="27" customFormat="1" ht="12.75" x14ac:dyDescent="0.2">
      <c r="A381" s="96" t="s">
        <v>384</v>
      </c>
      <c r="B381" s="97" t="s">
        <v>382</v>
      </c>
      <c r="C381" s="97" t="s">
        <v>15</v>
      </c>
      <c r="D381" s="2" t="s">
        <v>383</v>
      </c>
      <c r="E381" s="23">
        <f>28040284-10000000-800000-3000000-684267-10000000-3000000+200000+400000-1100000</f>
        <v>56017</v>
      </c>
      <c r="F381" s="23"/>
      <c r="G381" s="23"/>
      <c r="H381" s="23"/>
      <c r="I381" s="25"/>
      <c r="J381" s="103">
        <f t="shared" si="126"/>
        <v>0</v>
      </c>
      <c r="K381" s="23"/>
      <c r="L381" s="23"/>
      <c r="M381" s="23"/>
      <c r="N381" s="23"/>
      <c r="O381" s="25"/>
      <c r="P381" s="26">
        <f t="shared" si="127"/>
        <v>56017</v>
      </c>
      <c r="Q381" s="16"/>
    </row>
    <row r="382" spans="1:18" s="27" customFormat="1" ht="12.75" x14ac:dyDescent="0.2">
      <c r="A382" s="96" t="s">
        <v>517</v>
      </c>
      <c r="B382" s="97" t="s">
        <v>518</v>
      </c>
      <c r="C382" s="97" t="s">
        <v>14</v>
      </c>
      <c r="D382" s="2" t="s">
        <v>519</v>
      </c>
      <c r="E382" s="23">
        <f>F382+I382</f>
        <v>650000</v>
      </c>
      <c r="F382" s="23">
        <f>F384+F388</f>
        <v>650000</v>
      </c>
      <c r="G382" s="23"/>
      <c r="H382" s="23"/>
      <c r="I382" s="25"/>
      <c r="J382" s="103">
        <f>SUM(J383:J389)</f>
        <v>13157775</v>
      </c>
      <c r="K382" s="23">
        <f t="shared" ref="K382:O382" si="128">SUM(K383:K389)</f>
        <v>13157775</v>
      </c>
      <c r="L382" s="23">
        <f t="shared" si="128"/>
        <v>0</v>
      </c>
      <c r="M382" s="23">
        <f t="shared" si="128"/>
        <v>0</v>
      </c>
      <c r="N382" s="23">
        <f t="shared" si="128"/>
        <v>0</v>
      </c>
      <c r="O382" s="25">
        <f t="shared" si="128"/>
        <v>13157775</v>
      </c>
      <c r="P382" s="26">
        <f t="shared" si="127"/>
        <v>13807775</v>
      </c>
      <c r="Q382" s="16"/>
    </row>
    <row r="383" spans="1:18" s="27" customFormat="1" ht="12.75" x14ac:dyDescent="0.2">
      <c r="A383" s="96"/>
      <c r="B383" s="97"/>
      <c r="C383" s="97"/>
      <c r="D383" s="2" t="s">
        <v>449</v>
      </c>
      <c r="E383" s="23">
        <f t="shared" si="125"/>
        <v>0</v>
      </c>
      <c r="F383" s="23"/>
      <c r="G383" s="23"/>
      <c r="H383" s="23"/>
      <c r="I383" s="25"/>
      <c r="J383" s="103"/>
      <c r="K383" s="23"/>
      <c r="L383" s="23"/>
      <c r="M383" s="23"/>
      <c r="N383" s="23"/>
      <c r="O383" s="25"/>
      <c r="P383" s="26">
        <f t="shared" si="127"/>
        <v>0</v>
      </c>
      <c r="Q383" s="16"/>
    </row>
    <row r="384" spans="1:18" s="27" customFormat="1" ht="108" x14ac:dyDescent="0.2">
      <c r="A384" s="96"/>
      <c r="B384" s="97"/>
      <c r="C384" s="97"/>
      <c r="D384" s="28" t="s">
        <v>520</v>
      </c>
      <c r="E384" s="23">
        <f t="shared" si="125"/>
        <v>0</v>
      </c>
      <c r="F384" s="23"/>
      <c r="G384" s="23"/>
      <c r="H384" s="23"/>
      <c r="I384" s="25"/>
      <c r="J384" s="103">
        <f t="shared" ref="J384:J389" si="129">L384+O384</f>
        <v>3673800</v>
      </c>
      <c r="K384" s="23">
        <v>3673800</v>
      </c>
      <c r="L384" s="23"/>
      <c r="M384" s="23"/>
      <c r="N384" s="23"/>
      <c r="O384" s="25">
        <v>3673800</v>
      </c>
      <c r="P384" s="26">
        <f t="shared" si="127"/>
        <v>3673800</v>
      </c>
      <c r="Q384" s="16"/>
    </row>
    <row r="385" spans="1:17" s="27" customFormat="1" ht="48" x14ac:dyDescent="0.2">
      <c r="A385" s="96"/>
      <c r="B385" s="97"/>
      <c r="C385" s="97"/>
      <c r="D385" s="28" t="s">
        <v>606</v>
      </c>
      <c r="E385" s="23"/>
      <c r="F385" s="23"/>
      <c r="G385" s="23"/>
      <c r="H385" s="23"/>
      <c r="I385" s="25"/>
      <c r="J385" s="103">
        <f t="shared" si="129"/>
        <v>2594200</v>
      </c>
      <c r="K385" s="23">
        <f>2594200</f>
        <v>2594200</v>
      </c>
      <c r="L385" s="23"/>
      <c r="M385" s="23"/>
      <c r="N385" s="23"/>
      <c r="O385" s="25">
        <f>2594200</f>
        <v>2594200</v>
      </c>
      <c r="P385" s="26">
        <f t="shared" si="127"/>
        <v>2594200</v>
      </c>
      <c r="Q385" s="16"/>
    </row>
    <row r="386" spans="1:17" s="27" customFormat="1" ht="144" x14ac:dyDescent="0.2">
      <c r="A386" s="96"/>
      <c r="B386" s="97"/>
      <c r="C386" s="97"/>
      <c r="D386" s="28" t="s">
        <v>607</v>
      </c>
      <c r="E386" s="23"/>
      <c r="F386" s="23"/>
      <c r="G386" s="23"/>
      <c r="H386" s="23"/>
      <c r="I386" s="25"/>
      <c r="J386" s="103">
        <f t="shared" si="129"/>
        <v>4046400</v>
      </c>
      <c r="K386" s="23">
        <f>4046400</f>
        <v>4046400</v>
      </c>
      <c r="L386" s="23"/>
      <c r="M386" s="23"/>
      <c r="N386" s="23"/>
      <c r="O386" s="25">
        <f>4046400</f>
        <v>4046400</v>
      </c>
      <c r="P386" s="26">
        <f t="shared" si="127"/>
        <v>4046400</v>
      </c>
      <c r="Q386" s="16"/>
    </row>
    <row r="387" spans="1:17" s="27" customFormat="1" ht="60" x14ac:dyDescent="0.2">
      <c r="A387" s="96"/>
      <c r="B387" s="97"/>
      <c r="C387" s="97"/>
      <c r="D387" s="28" t="s">
        <v>608</v>
      </c>
      <c r="E387" s="23"/>
      <c r="F387" s="23"/>
      <c r="G387" s="23"/>
      <c r="H387" s="23"/>
      <c r="I387" s="25"/>
      <c r="J387" s="103">
        <f t="shared" si="129"/>
        <v>343375</v>
      </c>
      <c r="K387" s="23">
        <f>343375</f>
        <v>343375</v>
      </c>
      <c r="L387" s="23"/>
      <c r="M387" s="23"/>
      <c r="N387" s="23"/>
      <c r="O387" s="25">
        <f>343375</f>
        <v>343375</v>
      </c>
      <c r="P387" s="26">
        <f t="shared" si="127"/>
        <v>343375</v>
      </c>
      <c r="Q387" s="16"/>
    </row>
    <row r="388" spans="1:17" s="27" customFormat="1" ht="88.5" customHeight="1" x14ac:dyDescent="0.2">
      <c r="A388" s="96"/>
      <c r="B388" s="97"/>
      <c r="C388" s="97"/>
      <c r="D388" s="28" t="s">
        <v>567</v>
      </c>
      <c r="E388" s="23">
        <f>F388+I388</f>
        <v>650000</v>
      </c>
      <c r="F388" s="23">
        <v>650000</v>
      </c>
      <c r="G388" s="23"/>
      <c r="H388" s="23"/>
      <c r="I388" s="25"/>
      <c r="J388" s="103">
        <f t="shared" si="129"/>
        <v>0</v>
      </c>
      <c r="K388" s="23"/>
      <c r="L388" s="23"/>
      <c r="M388" s="23"/>
      <c r="N388" s="23"/>
      <c r="O388" s="25"/>
      <c r="P388" s="26">
        <f t="shared" si="127"/>
        <v>650000</v>
      </c>
      <c r="Q388" s="16"/>
    </row>
    <row r="389" spans="1:17" s="27" customFormat="1" ht="72" x14ac:dyDescent="0.2">
      <c r="A389" s="96"/>
      <c r="B389" s="97"/>
      <c r="C389" s="97"/>
      <c r="D389" s="28" t="s">
        <v>590</v>
      </c>
      <c r="E389" s="23"/>
      <c r="F389" s="23"/>
      <c r="G389" s="23"/>
      <c r="H389" s="23"/>
      <c r="I389" s="25"/>
      <c r="J389" s="103">
        <f t="shared" si="129"/>
        <v>2500000</v>
      </c>
      <c r="K389" s="23">
        <f>2500000</f>
        <v>2500000</v>
      </c>
      <c r="L389" s="23"/>
      <c r="M389" s="23"/>
      <c r="N389" s="23"/>
      <c r="O389" s="25">
        <v>2500000</v>
      </c>
      <c r="P389" s="26">
        <f t="shared" si="127"/>
        <v>2500000</v>
      </c>
      <c r="Q389" s="16"/>
    </row>
    <row r="390" spans="1:17" s="27" customFormat="1" ht="48" x14ac:dyDescent="0.2">
      <c r="A390" s="96" t="s">
        <v>521</v>
      </c>
      <c r="B390" s="97" t="s">
        <v>522</v>
      </c>
      <c r="C390" s="97" t="s">
        <v>14</v>
      </c>
      <c r="D390" s="2" t="s">
        <v>523</v>
      </c>
      <c r="E390" s="23">
        <f>F390+I390</f>
        <v>7872700</v>
      </c>
      <c r="F390" s="23">
        <f>F392+F393+F395+F396+F394+F402+F403+F400+F405+F406+F401+F408+F409+F410+F411+F412+F404+F397</f>
        <v>7872700</v>
      </c>
      <c r="G390" s="23"/>
      <c r="H390" s="23"/>
      <c r="I390" s="25"/>
      <c r="J390" s="103">
        <f t="shared" ref="J390:O390" si="130">SUM(J391:J412)</f>
        <v>20287000</v>
      </c>
      <c r="K390" s="23">
        <f t="shared" si="130"/>
        <v>20287000</v>
      </c>
      <c r="L390" s="23">
        <f t="shared" si="130"/>
        <v>0</v>
      </c>
      <c r="M390" s="23">
        <f t="shared" si="130"/>
        <v>0</v>
      </c>
      <c r="N390" s="23">
        <f t="shared" si="130"/>
        <v>0</v>
      </c>
      <c r="O390" s="25">
        <f t="shared" si="130"/>
        <v>20287000</v>
      </c>
      <c r="P390" s="26">
        <f t="shared" si="127"/>
        <v>28159700</v>
      </c>
      <c r="Q390" s="16"/>
    </row>
    <row r="391" spans="1:17" s="27" customFormat="1" ht="12.75" x14ac:dyDescent="0.2">
      <c r="A391" s="96"/>
      <c r="B391" s="97"/>
      <c r="C391" s="97"/>
      <c r="D391" s="2" t="s">
        <v>449</v>
      </c>
      <c r="E391" s="23">
        <f t="shared" ref="E391:E407" si="131">F391+I391</f>
        <v>0</v>
      </c>
      <c r="F391" s="23"/>
      <c r="G391" s="23"/>
      <c r="H391" s="23"/>
      <c r="I391" s="25"/>
      <c r="J391" s="103"/>
      <c r="K391" s="23"/>
      <c r="L391" s="23"/>
      <c r="M391" s="23"/>
      <c r="N391" s="23"/>
      <c r="O391" s="25"/>
      <c r="P391" s="26">
        <f t="shared" si="127"/>
        <v>0</v>
      </c>
      <c r="Q391" s="16"/>
    </row>
    <row r="392" spans="1:17" s="27" customFormat="1" ht="48.75" customHeight="1" x14ac:dyDescent="0.2">
      <c r="A392" s="96"/>
      <c r="B392" s="97"/>
      <c r="C392" s="97"/>
      <c r="D392" s="2" t="s">
        <v>530</v>
      </c>
      <c r="E392" s="23">
        <f t="shared" si="131"/>
        <v>300000</v>
      </c>
      <c r="F392" s="23">
        <v>300000</v>
      </c>
      <c r="G392" s="23"/>
      <c r="H392" s="23"/>
      <c r="I392" s="25"/>
      <c r="J392" s="103"/>
      <c r="K392" s="23"/>
      <c r="L392" s="23"/>
      <c r="M392" s="23"/>
      <c r="N392" s="23"/>
      <c r="O392" s="25"/>
      <c r="P392" s="26">
        <f t="shared" si="127"/>
        <v>300000</v>
      </c>
      <c r="Q392" s="16"/>
    </row>
    <row r="393" spans="1:17" s="27" customFormat="1" ht="57.75" customHeight="1" x14ac:dyDescent="0.2">
      <c r="A393" s="96"/>
      <c r="B393" s="97"/>
      <c r="C393" s="97"/>
      <c r="D393" s="2" t="s">
        <v>531</v>
      </c>
      <c r="E393" s="23">
        <f t="shared" si="131"/>
        <v>1217700</v>
      </c>
      <c r="F393" s="23">
        <v>1217700</v>
      </c>
      <c r="G393" s="23"/>
      <c r="H393" s="23"/>
      <c r="I393" s="25"/>
      <c r="J393" s="103"/>
      <c r="K393" s="23"/>
      <c r="L393" s="23"/>
      <c r="M393" s="23"/>
      <c r="N393" s="23"/>
      <c r="O393" s="25"/>
      <c r="P393" s="26">
        <f t="shared" si="127"/>
        <v>1217700</v>
      </c>
      <c r="Q393" s="16"/>
    </row>
    <row r="394" spans="1:17" s="27" customFormat="1" ht="132" customHeight="1" x14ac:dyDescent="0.2">
      <c r="A394" s="96"/>
      <c r="B394" s="97"/>
      <c r="C394" s="97"/>
      <c r="D394" s="2" t="s">
        <v>566</v>
      </c>
      <c r="E394" s="23">
        <f t="shared" si="131"/>
        <v>500000</v>
      </c>
      <c r="F394" s="23">
        <v>500000</v>
      </c>
      <c r="G394" s="23"/>
      <c r="H394" s="23"/>
      <c r="I394" s="25"/>
      <c r="J394" s="103"/>
      <c r="K394" s="23"/>
      <c r="L394" s="23"/>
      <c r="M394" s="23"/>
      <c r="N394" s="23"/>
      <c r="O394" s="25"/>
      <c r="P394" s="26">
        <f t="shared" si="127"/>
        <v>500000</v>
      </c>
      <c r="Q394" s="16"/>
    </row>
    <row r="395" spans="1:17" s="27" customFormat="1" ht="108" x14ac:dyDescent="0.2">
      <c r="A395" s="96"/>
      <c r="B395" s="97"/>
      <c r="C395" s="97"/>
      <c r="D395" s="2" t="s">
        <v>524</v>
      </c>
      <c r="E395" s="23">
        <f t="shared" si="131"/>
        <v>0</v>
      </c>
      <c r="F395" s="23"/>
      <c r="G395" s="23"/>
      <c r="H395" s="23"/>
      <c r="I395" s="25"/>
      <c r="J395" s="103">
        <f t="shared" ref="J395:J407" si="132">L395+O395</f>
        <v>2850000</v>
      </c>
      <c r="K395" s="23">
        <f>1850000+1000000</f>
        <v>2850000</v>
      </c>
      <c r="L395" s="23"/>
      <c r="M395" s="23"/>
      <c r="N395" s="23"/>
      <c r="O395" s="25">
        <f>1850000+1000000</f>
        <v>2850000</v>
      </c>
      <c r="P395" s="26">
        <f t="shared" si="127"/>
        <v>2850000</v>
      </c>
      <c r="Q395" s="16"/>
    </row>
    <row r="396" spans="1:17" s="27" customFormat="1" ht="60" x14ac:dyDescent="0.2">
      <c r="A396" s="96"/>
      <c r="B396" s="97"/>
      <c r="C396" s="97"/>
      <c r="D396" s="2" t="s">
        <v>525</v>
      </c>
      <c r="E396" s="23">
        <f t="shared" si="131"/>
        <v>0</v>
      </c>
      <c r="F396" s="23"/>
      <c r="G396" s="23"/>
      <c r="H396" s="23"/>
      <c r="I396" s="25"/>
      <c r="J396" s="103">
        <f t="shared" si="132"/>
        <v>3000000</v>
      </c>
      <c r="K396" s="23">
        <v>3000000</v>
      </c>
      <c r="L396" s="23"/>
      <c r="M396" s="23"/>
      <c r="N396" s="23"/>
      <c r="O396" s="25">
        <v>3000000</v>
      </c>
      <c r="P396" s="26">
        <f t="shared" si="127"/>
        <v>3000000</v>
      </c>
      <c r="Q396" s="16"/>
    </row>
    <row r="397" spans="1:17" s="27" customFormat="1" ht="72" x14ac:dyDescent="0.2">
      <c r="A397" s="96"/>
      <c r="B397" s="97"/>
      <c r="C397" s="97"/>
      <c r="D397" s="28" t="s">
        <v>641</v>
      </c>
      <c r="E397" s="23">
        <f t="shared" si="131"/>
        <v>95000</v>
      </c>
      <c r="F397" s="23">
        <v>95000</v>
      </c>
      <c r="G397" s="23"/>
      <c r="H397" s="23"/>
      <c r="I397" s="25"/>
      <c r="J397" s="103">
        <f t="shared" si="132"/>
        <v>905000</v>
      </c>
      <c r="K397" s="23">
        <f>905000</f>
        <v>905000</v>
      </c>
      <c r="L397" s="23"/>
      <c r="M397" s="23"/>
      <c r="N397" s="23"/>
      <c r="O397" s="25">
        <f>905000</f>
        <v>905000</v>
      </c>
      <c r="P397" s="26">
        <f t="shared" si="127"/>
        <v>1000000</v>
      </c>
      <c r="Q397" s="16"/>
    </row>
    <row r="398" spans="1:17" s="27" customFormat="1" ht="60" x14ac:dyDescent="0.2">
      <c r="A398" s="96"/>
      <c r="B398" s="97"/>
      <c r="C398" s="97"/>
      <c r="D398" s="28" t="s">
        <v>643</v>
      </c>
      <c r="E398" s="23"/>
      <c r="F398" s="23"/>
      <c r="G398" s="23"/>
      <c r="H398" s="23"/>
      <c r="I398" s="25"/>
      <c r="J398" s="103">
        <f t="shared" si="132"/>
        <v>1432000</v>
      </c>
      <c r="K398" s="23">
        <f>1432000</f>
        <v>1432000</v>
      </c>
      <c r="L398" s="23"/>
      <c r="M398" s="23"/>
      <c r="N398" s="23"/>
      <c r="O398" s="25">
        <f>1432000</f>
        <v>1432000</v>
      </c>
      <c r="P398" s="26">
        <f t="shared" si="127"/>
        <v>1432000</v>
      </c>
      <c r="Q398" s="16"/>
    </row>
    <row r="399" spans="1:17" s="27" customFormat="1" ht="108" x14ac:dyDescent="0.2">
      <c r="A399" s="96"/>
      <c r="B399" s="97"/>
      <c r="C399" s="97"/>
      <c r="D399" s="28" t="s">
        <v>630</v>
      </c>
      <c r="E399" s="23">
        <f>F399+I399</f>
        <v>0</v>
      </c>
      <c r="F399" s="23"/>
      <c r="G399" s="23"/>
      <c r="H399" s="23"/>
      <c r="I399" s="25"/>
      <c r="J399" s="103">
        <f>L399+O399</f>
        <v>500000</v>
      </c>
      <c r="K399" s="23">
        <v>500000</v>
      </c>
      <c r="L399" s="23"/>
      <c r="M399" s="23"/>
      <c r="N399" s="23"/>
      <c r="O399" s="25">
        <v>500000</v>
      </c>
      <c r="P399" s="26">
        <f>E399+J399</f>
        <v>500000</v>
      </c>
      <c r="Q399" s="16"/>
    </row>
    <row r="400" spans="1:17" s="27" customFormat="1" ht="144" x14ac:dyDescent="0.2">
      <c r="A400" s="96"/>
      <c r="B400" s="97"/>
      <c r="C400" s="97"/>
      <c r="D400" s="28" t="s">
        <v>642</v>
      </c>
      <c r="E400" s="23">
        <f>F400+I400</f>
        <v>0</v>
      </c>
      <c r="F400" s="23"/>
      <c r="G400" s="23"/>
      <c r="H400" s="23"/>
      <c r="I400" s="25"/>
      <c r="J400" s="103">
        <f>L400+O400</f>
        <v>1800000</v>
      </c>
      <c r="K400" s="23">
        <f>1800000</f>
        <v>1800000</v>
      </c>
      <c r="L400" s="23"/>
      <c r="M400" s="23"/>
      <c r="N400" s="23"/>
      <c r="O400" s="25">
        <f>1800000</f>
        <v>1800000</v>
      </c>
      <c r="P400" s="26">
        <f>E400+J400</f>
        <v>1800000</v>
      </c>
      <c r="Q400" s="16"/>
    </row>
    <row r="401" spans="1:17" s="27" customFormat="1" ht="48" x14ac:dyDescent="0.2">
      <c r="A401" s="96"/>
      <c r="B401" s="97"/>
      <c r="C401" s="97"/>
      <c r="D401" s="28" t="s">
        <v>592</v>
      </c>
      <c r="E401" s="23">
        <f>F401+I401</f>
        <v>0</v>
      </c>
      <c r="F401" s="23"/>
      <c r="G401" s="23"/>
      <c r="H401" s="23"/>
      <c r="I401" s="25"/>
      <c r="J401" s="103">
        <f>L401+O401</f>
        <v>2500000</v>
      </c>
      <c r="K401" s="23">
        <f>2500000</f>
        <v>2500000</v>
      </c>
      <c r="L401" s="23"/>
      <c r="M401" s="23"/>
      <c r="N401" s="23"/>
      <c r="O401" s="25">
        <f>2500000</f>
        <v>2500000</v>
      </c>
      <c r="P401" s="26">
        <f>E401+J401</f>
        <v>2500000</v>
      </c>
      <c r="Q401" s="16"/>
    </row>
    <row r="402" spans="1:17" s="27" customFormat="1" ht="120" x14ac:dyDescent="0.2">
      <c r="A402" s="96"/>
      <c r="B402" s="97"/>
      <c r="C402" s="97"/>
      <c r="D402" s="2" t="s">
        <v>568</v>
      </c>
      <c r="E402" s="23">
        <f t="shared" si="131"/>
        <v>0</v>
      </c>
      <c r="F402" s="23"/>
      <c r="G402" s="23"/>
      <c r="H402" s="23"/>
      <c r="I402" s="25"/>
      <c r="J402" s="103">
        <f t="shared" si="132"/>
        <v>600000</v>
      </c>
      <c r="K402" s="23">
        <f>600000</f>
        <v>600000</v>
      </c>
      <c r="L402" s="23"/>
      <c r="M402" s="23"/>
      <c r="N402" s="23"/>
      <c r="O402" s="25">
        <f>600000</f>
        <v>600000</v>
      </c>
      <c r="P402" s="26">
        <f t="shared" si="127"/>
        <v>600000</v>
      </c>
      <c r="Q402" s="16"/>
    </row>
    <row r="403" spans="1:17" s="27" customFormat="1" ht="120" x14ac:dyDescent="0.2">
      <c r="A403" s="96"/>
      <c r="B403" s="97"/>
      <c r="C403" s="97"/>
      <c r="D403" s="2" t="s">
        <v>591</v>
      </c>
      <c r="E403" s="23">
        <f t="shared" si="131"/>
        <v>0</v>
      </c>
      <c r="F403" s="23"/>
      <c r="G403" s="23"/>
      <c r="H403" s="23"/>
      <c r="I403" s="25"/>
      <c r="J403" s="103">
        <f t="shared" si="132"/>
        <v>3000000</v>
      </c>
      <c r="K403" s="23">
        <f>3000000</f>
        <v>3000000</v>
      </c>
      <c r="L403" s="23"/>
      <c r="M403" s="23"/>
      <c r="N403" s="23"/>
      <c r="O403" s="25">
        <f>3000000</f>
        <v>3000000</v>
      </c>
      <c r="P403" s="26">
        <f t="shared" si="127"/>
        <v>3000000</v>
      </c>
      <c r="Q403" s="16"/>
    </row>
    <row r="404" spans="1:17" s="27" customFormat="1" ht="108" x14ac:dyDescent="0.2">
      <c r="A404" s="96"/>
      <c r="B404" s="97"/>
      <c r="C404" s="97"/>
      <c r="D404" s="28" t="s">
        <v>620</v>
      </c>
      <c r="E404" s="23">
        <f t="shared" si="131"/>
        <v>2000000</v>
      </c>
      <c r="F404" s="23">
        <v>2000000</v>
      </c>
      <c r="G404" s="23"/>
      <c r="H404" s="23"/>
      <c r="I404" s="25"/>
      <c r="J404" s="103"/>
      <c r="K404" s="23"/>
      <c r="L404" s="23"/>
      <c r="M404" s="23"/>
      <c r="N404" s="23"/>
      <c r="O404" s="25"/>
      <c r="P404" s="26">
        <f t="shared" si="127"/>
        <v>2000000</v>
      </c>
      <c r="Q404" s="16"/>
    </row>
    <row r="405" spans="1:17" s="27" customFormat="1" ht="120" x14ac:dyDescent="0.2">
      <c r="A405" s="96"/>
      <c r="B405" s="97"/>
      <c r="C405" s="97"/>
      <c r="D405" s="28" t="s">
        <v>593</v>
      </c>
      <c r="E405" s="23">
        <f t="shared" si="131"/>
        <v>0</v>
      </c>
      <c r="F405" s="23"/>
      <c r="G405" s="23"/>
      <c r="H405" s="23"/>
      <c r="I405" s="25"/>
      <c r="J405" s="103">
        <f t="shared" si="132"/>
        <v>500000</v>
      </c>
      <c r="K405" s="23">
        <f>500000</f>
        <v>500000</v>
      </c>
      <c r="L405" s="23"/>
      <c r="M405" s="23"/>
      <c r="N405" s="23"/>
      <c r="O405" s="25">
        <f>500000</f>
        <v>500000</v>
      </c>
      <c r="P405" s="26">
        <f t="shared" si="127"/>
        <v>500000</v>
      </c>
      <c r="Q405" s="16"/>
    </row>
    <row r="406" spans="1:17" s="27" customFormat="1" ht="120" x14ac:dyDescent="0.2">
      <c r="A406" s="96"/>
      <c r="B406" s="97"/>
      <c r="C406" s="97"/>
      <c r="D406" s="28" t="s">
        <v>594</v>
      </c>
      <c r="E406" s="23">
        <f t="shared" si="131"/>
        <v>0</v>
      </c>
      <c r="F406" s="23"/>
      <c r="G406" s="23"/>
      <c r="H406" s="23"/>
      <c r="I406" s="25"/>
      <c r="J406" s="103">
        <f t="shared" si="132"/>
        <v>1500000</v>
      </c>
      <c r="K406" s="23">
        <f>1500000</f>
        <v>1500000</v>
      </c>
      <c r="L406" s="23"/>
      <c r="M406" s="23"/>
      <c r="N406" s="23"/>
      <c r="O406" s="25">
        <f>1500000</f>
        <v>1500000</v>
      </c>
      <c r="P406" s="26">
        <f t="shared" si="127"/>
        <v>1500000</v>
      </c>
      <c r="Q406" s="16"/>
    </row>
    <row r="407" spans="1:17" s="27" customFormat="1" ht="120" x14ac:dyDescent="0.2">
      <c r="A407" s="96"/>
      <c r="B407" s="97"/>
      <c r="C407" s="97"/>
      <c r="D407" s="28" t="s">
        <v>601</v>
      </c>
      <c r="E407" s="23">
        <f t="shared" si="131"/>
        <v>0</v>
      </c>
      <c r="F407" s="23"/>
      <c r="G407" s="23"/>
      <c r="H407" s="23"/>
      <c r="I407" s="25"/>
      <c r="J407" s="103">
        <f t="shared" si="132"/>
        <v>1700000</v>
      </c>
      <c r="K407" s="23">
        <f>1700000</f>
        <v>1700000</v>
      </c>
      <c r="L407" s="23"/>
      <c r="M407" s="23"/>
      <c r="N407" s="23"/>
      <c r="O407" s="25">
        <f>1700000</f>
        <v>1700000</v>
      </c>
      <c r="P407" s="26">
        <f t="shared" si="127"/>
        <v>1700000</v>
      </c>
      <c r="Q407" s="16"/>
    </row>
    <row r="408" spans="1:17" s="27" customFormat="1" ht="48" x14ac:dyDescent="0.2">
      <c r="A408" s="96"/>
      <c r="B408" s="97"/>
      <c r="C408" s="97"/>
      <c r="D408" s="28" t="s">
        <v>595</v>
      </c>
      <c r="E408" s="23">
        <f t="shared" ref="E408:E412" si="133">F408+I408</f>
        <v>1000000</v>
      </c>
      <c r="F408" s="23">
        <v>1000000</v>
      </c>
      <c r="G408" s="23"/>
      <c r="H408" s="23"/>
      <c r="I408" s="25"/>
      <c r="J408" s="103"/>
      <c r="K408" s="23"/>
      <c r="L408" s="23"/>
      <c r="M408" s="23"/>
      <c r="N408" s="23"/>
      <c r="O408" s="25"/>
      <c r="P408" s="26">
        <f t="shared" si="127"/>
        <v>1000000</v>
      </c>
      <c r="Q408" s="16"/>
    </row>
    <row r="409" spans="1:17" s="27" customFormat="1" ht="96" x14ac:dyDescent="0.2">
      <c r="A409" s="96"/>
      <c r="B409" s="97"/>
      <c r="C409" s="97"/>
      <c r="D409" s="28" t="s">
        <v>596</v>
      </c>
      <c r="E409" s="23">
        <f t="shared" si="133"/>
        <v>160000</v>
      </c>
      <c r="F409" s="23">
        <v>160000</v>
      </c>
      <c r="G409" s="23"/>
      <c r="H409" s="23"/>
      <c r="I409" s="25"/>
      <c r="J409" s="103"/>
      <c r="K409" s="23"/>
      <c r="L409" s="23"/>
      <c r="M409" s="23"/>
      <c r="N409" s="23"/>
      <c r="O409" s="25"/>
      <c r="P409" s="26">
        <f t="shared" si="127"/>
        <v>160000</v>
      </c>
      <c r="Q409" s="16"/>
    </row>
    <row r="410" spans="1:17" s="27" customFormat="1" ht="132" x14ac:dyDescent="0.2">
      <c r="A410" s="96"/>
      <c r="B410" s="97"/>
      <c r="C410" s="97"/>
      <c r="D410" s="28" t="s">
        <v>597</v>
      </c>
      <c r="E410" s="23">
        <f t="shared" si="133"/>
        <v>1000000</v>
      </c>
      <c r="F410" s="23">
        <v>1000000</v>
      </c>
      <c r="G410" s="23"/>
      <c r="H410" s="23"/>
      <c r="I410" s="25"/>
      <c r="J410" s="103"/>
      <c r="K410" s="23"/>
      <c r="L410" s="23"/>
      <c r="M410" s="23"/>
      <c r="N410" s="23"/>
      <c r="O410" s="25"/>
      <c r="P410" s="26">
        <f t="shared" si="127"/>
        <v>1000000</v>
      </c>
      <c r="Q410" s="16"/>
    </row>
    <row r="411" spans="1:17" s="27" customFormat="1" ht="90.75" customHeight="1" x14ac:dyDescent="0.2">
      <c r="A411" s="96"/>
      <c r="B411" s="97"/>
      <c r="C411" s="97"/>
      <c r="D411" s="2" t="s">
        <v>599</v>
      </c>
      <c r="E411" s="23">
        <f t="shared" si="133"/>
        <v>1000000</v>
      </c>
      <c r="F411" s="23">
        <v>1000000</v>
      </c>
      <c r="G411" s="23"/>
      <c r="H411" s="23"/>
      <c r="I411" s="25"/>
      <c r="J411" s="103"/>
      <c r="K411" s="23"/>
      <c r="L411" s="23"/>
      <c r="M411" s="23"/>
      <c r="N411" s="23"/>
      <c r="O411" s="25"/>
      <c r="P411" s="26">
        <f t="shared" si="127"/>
        <v>1000000</v>
      </c>
      <c r="Q411" s="16"/>
    </row>
    <row r="412" spans="1:17" s="27" customFormat="1" ht="134.25" customHeight="1" thickBot="1" x14ac:dyDescent="0.25">
      <c r="A412" s="60"/>
      <c r="B412" s="61"/>
      <c r="C412" s="62"/>
      <c r="D412" s="63" t="s">
        <v>619</v>
      </c>
      <c r="E412" s="64">
        <f t="shared" si="133"/>
        <v>600000</v>
      </c>
      <c r="F412" s="64">
        <v>600000</v>
      </c>
      <c r="G412" s="64"/>
      <c r="H412" s="64"/>
      <c r="I412" s="65"/>
      <c r="J412" s="107"/>
      <c r="K412" s="64"/>
      <c r="L412" s="64"/>
      <c r="M412" s="64"/>
      <c r="N412" s="64"/>
      <c r="O412" s="65"/>
      <c r="P412" s="26">
        <f t="shared" si="127"/>
        <v>600000</v>
      </c>
      <c r="Q412" s="16"/>
    </row>
    <row r="413" spans="1:17" s="71" customFormat="1" ht="13.5" thickBot="1" x14ac:dyDescent="0.25">
      <c r="A413" s="66"/>
      <c r="B413" s="124" t="s">
        <v>2</v>
      </c>
      <c r="C413" s="124"/>
      <c r="D413" s="125"/>
      <c r="E413" s="67">
        <f t="shared" ref="E413:O413" si="134">E13+E71+E125+E139+E181+E191+E222+E353+E275+E291+E306+E331+E370+E206+E261+E320+E367+E312+E303</f>
        <v>4434639463.1999998</v>
      </c>
      <c r="F413" s="68">
        <f t="shared" si="134"/>
        <v>4139501387.1999998</v>
      </c>
      <c r="G413" s="68">
        <f t="shared" si="134"/>
        <v>1638370972</v>
      </c>
      <c r="H413" s="68">
        <f t="shared" si="134"/>
        <v>301267443</v>
      </c>
      <c r="I413" s="69">
        <f t="shared" si="134"/>
        <v>295082059</v>
      </c>
      <c r="J413" s="108">
        <f t="shared" si="134"/>
        <v>972730461</v>
      </c>
      <c r="K413" s="68">
        <f t="shared" si="134"/>
        <v>841949088</v>
      </c>
      <c r="L413" s="68">
        <f t="shared" si="134"/>
        <v>127693319</v>
      </c>
      <c r="M413" s="68">
        <f t="shared" si="134"/>
        <v>12495100</v>
      </c>
      <c r="N413" s="68">
        <f t="shared" si="134"/>
        <v>6756500</v>
      </c>
      <c r="O413" s="109">
        <f t="shared" si="134"/>
        <v>845037142</v>
      </c>
      <c r="P413" s="70">
        <f>P13+P71+P125+P139+P181+P191+P222+P353+P275+P291+P306+P331+P370+P206+P261+P320+P367+P312+P303</f>
        <v>5407369924.1999998</v>
      </c>
      <c r="Q413" s="16"/>
    </row>
    <row r="414" spans="1:17" s="6" customFormat="1" ht="11.25" customHeight="1" x14ac:dyDescent="0.2">
      <c r="A414" s="3"/>
      <c r="B414" s="7"/>
      <c r="C414" s="7"/>
      <c r="E414" s="8"/>
      <c r="F414" s="8"/>
      <c r="G414" s="8"/>
      <c r="H414" s="8"/>
      <c r="I414" s="8"/>
      <c r="J414" s="4"/>
      <c r="K414" s="4"/>
      <c r="L414" s="123" t="s">
        <v>559</v>
      </c>
      <c r="M414" s="123"/>
      <c r="N414" s="123"/>
      <c r="O414" s="4"/>
      <c r="P414" s="4"/>
      <c r="Q414" s="8"/>
    </row>
    <row r="415" spans="1:17" s="6" customFormat="1" ht="11.25" customHeight="1" x14ac:dyDescent="0.2">
      <c r="A415" s="3"/>
      <c r="B415" s="7"/>
      <c r="C415" s="7"/>
      <c r="E415" s="8"/>
      <c r="F415" s="8"/>
      <c r="G415" s="8"/>
      <c r="H415" s="8"/>
      <c r="I415" s="8"/>
      <c r="J415" s="4"/>
      <c r="K415" s="4"/>
      <c r="L415" s="123"/>
      <c r="M415" s="123"/>
      <c r="N415" s="123"/>
      <c r="O415" s="4"/>
      <c r="P415" s="4"/>
    </row>
    <row r="416" spans="1:17" s="6" customFormat="1" ht="11.25" customHeight="1" x14ac:dyDescent="0.2">
      <c r="A416" s="3"/>
      <c r="B416" s="7"/>
      <c r="C416" s="7"/>
      <c r="D416" s="122" t="s">
        <v>10</v>
      </c>
      <c r="E416" s="122"/>
      <c r="F416" s="122"/>
      <c r="G416" s="8"/>
      <c r="H416" s="8"/>
      <c r="I416" s="8"/>
      <c r="J416" s="8"/>
      <c r="K416" s="4"/>
      <c r="L416" s="123"/>
      <c r="M416" s="123"/>
      <c r="N416" s="123"/>
      <c r="O416" s="4"/>
      <c r="P416" s="4"/>
      <c r="Q416" s="8"/>
    </row>
    <row r="417" spans="1:16" s="6" customFormat="1" ht="15.75" x14ac:dyDescent="0.2">
      <c r="A417" s="3"/>
      <c r="E417" s="72"/>
      <c r="F417" s="73"/>
      <c r="G417" s="73"/>
      <c r="H417" s="73"/>
      <c r="I417" s="73"/>
      <c r="J417" s="74"/>
      <c r="K417" s="74"/>
      <c r="L417" s="123"/>
      <c r="M417" s="123"/>
      <c r="N417" s="123"/>
      <c r="O417" s="74"/>
      <c r="P417" s="74"/>
    </row>
    <row r="418" spans="1:16" s="75" customFormat="1" ht="15" x14ac:dyDescent="0.25">
      <c r="E418" s="76"/>
      <c r="F418" s="76"/>
      <c r="G418" s="76"/>
      <c r="H418" s="76"/>
      <c r="I418" s="76">
        <f t="shared" ref="I418" si="135">I15+I73+I127+I141+I183+I193+I208+I224+I263+I277+I293+I305+I308+I314+I322+I333+I355+I369+I372</f>
        <v>0</v>
      </c>
      <c r="J418" s="101"/>
      <c r="K418" s="101"/>
      <c r="L418" s="101"/>
      <c r="M418" s="101"/>
      <c r="N418" s="101"/>
      <c r="O418" s="101"/>
      <c r="P418" s="101"/>
    </row>
    <row r="419" spans="1:16" s="75" customFormat="1" ht="15" x14ac:dyDescent="0.25">
      <c r="A419" s="77"/>
      <c r="B419" s="78"/>
      <c r="C419" s="78"/>
      <c r="D419" s="79"/>
      <c r="E419" s="80"/>
      <c r="F419" s="80"/>
      <c r="G419" s="80"/>
      <c r="H419" s="80"/>
      <c r="I419" s="80"/>
      <c r="J419" s="81"/>
      <c r="K419" s="81"/>
      <c r="L419" s="81"/>
      <c r="M419" s="81"/>
      <c r="N419" s="81"/>
      <c r="O419" s="81"/>
      <c r="P419" s="81"/>
    </row>
    <row r="420" spans="1:16" s="75" customFormat="1" ht="15" x14ac:dyDescent="0.25">
      <c r="A420" s="77"/>
      <c r="B420" s="78"/>
      <c r="C420" s="78"/>
      <c r="D420" s="79"/>
      <c r="E420" s="76"/>
      <c r="F420" s="76"/>
      <c r="G420" s="76"/>
      <c r="H420" s="76"/>
      <c r="I420" s="76"/>
      <c r="J420" s="81"/>
      <c r="K420" s="81"/>
      <c r="L420" s="81"/>
      <c r="M420" s="81"/>
      <c r="N420" s="81"/>
      <c r="O420" s="81"/>
      <c r="P420" s="81"/>
    </row>
    <row r="421" spans="1:16" s="87" customFormat="1" ht="12.75" x14ac:dyDescent="0.2">
      <c r="A421" s="82"/>
      <c r="B421" s="83"/>
      <c r="C421" s="83"/>
      <c r="D421" s="84"/>
      <c r="E421" s="85"/>
      <c r="F421" s="85"/>
      <c r="G421" s="85"/>
      <c r="H421" s="85"/>
      <c r="I421" s="85"/>
      <c r="J421" s="86"/>
      <c r="K421" s="86"/>
      <c r="L421" s="86"/>
      <c r="M421" s="86"/>
      <c r="N421" s="86"/>
      <c r="O421" s="86"/>
      <c r="P421" s="86"/>
    </row>
    <row r="422" spans="1:16" s="87" customFormat="1" ht="12.75" x14ac:dyDescent="0.2">
      <c r="A422" s="82"/>
      <c r="B422" s="83"/>
      <c r="C422" s="83"/>
      <c r="D422" s="88"/>
      <c r="E422" s="89"/>
      <c r="F422" s="85"/>
      <c r="G422" s="85"/>
      <c r="H422" s="85"/>
      <c r="I422" s="89"/>
      <c r="J422" s="86"/>
      <c r="K422" s="86"/>
      <c r="L422" s="86"/>
      <c r="M422" s="86"/>
      <c r="N422" s="86"/>
      <c r="O422" s="86"/>
      <c r="P422" s="86"/>
    </row>
    <row r="423" spans="1:16" s="87" customFormat="1" ht="12.75" x14ac:dyDescent="0.2">
      <c r="A423" s="82"/>
      <c r="B423" s="83"/>
      <c r="C423" s="83"/>
      <c r="D423" s="88"/>
      <c r="E423" s="89"/>
      <c r="F423" s="89"/>
      <c r="G423" s="89"/>
      <c r="H423" s="89"/>
      <c r="I423" s="89"/>
      <c r="J423" s="86"/>
      <c r="K423" s="86"/>
      <c r="L423" s="86"/>
      <c r="M423" s="86"/>
      <c r="N423" s="86"/>
      <c r="O423" s="86"/>
      <c r="P423" s="86"/>
    </row>
    <row r="424" spans="1:16" s="87" customFormat="1" ht="12.75" x14ac:dyDescent="0.2">
      <c r="A424" s="82"/>
      <c r="B424" s="83"/>
      <c r="C424" s="83"/>
      <c r="D424" s="90"/>
      <c r="E424" s="89"/>
      <c r="F424" s="85"/>
      <c r="G424" s="85"/>
      <c r="H424" s="85"/>
      <c r="I424" s="89"/>
      <c r="J424" s="86"/>
      <c r="K424" s="86"/>
      <c r="L424" s="86"/>
      <c r="M424" s="86"/>
      <c r="N424" s="86"/>
      <c r="O424" s="86"/>
      <c r="P424" s="86"/>
    </row>
    <row r="426" spans="1:16" x14ac:dyDescent="0.2">
      <c r="J426" s="92"/>
    </row>
    <row r="427" spans="1:16" x14ac:dyDescent="0.2">
      <c r="E427" s="94"/>
    </row>
  </sheetData>
  <mergeCells count="31">
    <mergeCell ref="B1:N1"/>
    <mergeCell ref="L10:L12"/>
    <mergeCell ref="O10:O12"/>
    <mergeCell ref="M10:N10"/>
    <mergeCell ref="G10:H10"/>
    <mergeCell ref="N4:O4"/>
    <mergeCell ref="A6:B6"/>
    <mergeCell ref="A7:B7"/>
    <mergeCell ref="A9:A12"/>
    <mergeCell ref="B9:B12"/>
    <mergeCell ref="D9:D12"/>
    <mergeCell ref="C9:C12"/>
    <mergeCell ref="E9:I9"/>
    <mergeCell ref="E10:E12"/>
    <mergeCell ref="N2:O2"/>
    <mergeCell ref="D416:F416"/>
    <mergeCell ref="L414:N417"/>
    <mergeCell ref="B413:D413"/>
    <mergeCell ref="A300:A301"/>
    <mergeCell ref="B300:B301"/>
    <mergeCell ref="C300:C301"/>
    <mergeCell ref="P9:P12"/>
    <mergeCell ref="F10:F12"/>
    <mergeCell ref="J9:O9"/>
    <mergeCell ref="G11:G12"/>
    <mergeCell ref="H11:H12"/>
    <mergeCell ref="M11:M12"/>
    <mergeCell ref="N11:N12"/>
    <mergeCell ref="J10:J12"/>
    <mergeCell ref="K10:K12"/>
    <mergeCell ref="I10:I12"/>
  </mergeCells>
  <phoneticPr fontId="5" type="noConversion"/>
  <pageMargins left="0" right="0" top="1.1811023622047245" bottom="0.39370078740157483" header="0.51181102362204722" footer="0.51181102362204722"/>
  <pageSetup paperSize="9" scale="48" fitToHeight="30" orientation="landscape" r:id="rId1"/>
  <rowBreaks count="5" manualBreakCount="5">
    <brk id="364" max="15" man="1"/>
    <brk id="383" max="15" man="1"/>
    <brk id="394" max="15" man="1"/>
    <brk id="402" max="15" man="1"/>
    <brk id="406" max="15" man="1"/>
  </rowBreaks>
  <ignoredErrors>
    <ignoredError sqref="J149 H96:I96 E99 E73:E74 E81 E106 E101 E108:E109 E111 E127 E103 E102 E104:E105 F71:I71 E71" emptyCellReference="1"/>
    <ignoredError sqref="A122:B122 B119:B120" numberStoredAsText="1"/>
    <ignoredError sqref="J10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TDSheet</vt:lpstr>
      <vt:lpstr>TDSheet!Заголовки_для_печати</vt:lpstr>
      <vt:lpstr>TDSheet!Область_печати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dc:creator>
  <cp:lastModifiedBy>Admin</cp:lastModifiedBy>
  <cp:lastPrinted>2025-01-06T08:23:30Z</cp:lastPrinted>
  <dcterms:created xsi:type="dcterms:W3CDTF">2016-12-02T14:24:23Z</dcterms:created>
  <dcterms:modified xsi:type="dcterms:W3CDTF">2025-02-06T12:49:55Z</dcterms:modified>
</cp:coreProperties>
</file>